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данные'!$18:$18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'Мои данные'!$A:$P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Lexy</author>
    <author>АНЯ</author>
    <author>Сметный</author>
    <author>&lt;&gt;</author>
  </authors>
  <commentList>
    <comment ref="D11" authorId="0">
      <text>
        <r>
          <rPr>
            <b/>
            <sz val="8"/>
            <rFont val="Tahoma"/>
            <family val="0"/>
          </rPr>
          <t xml:space="preserve"> &lt;Основание&gt;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 &lt;Сметная стоимость в текущих ценах после применения индексов&gt;</t>
        </r>
      </text>
    </comment>
    <comment ref="A4" authorId="1">
      <text>
        <r>
          <rPr>
            <b/>
            <sz val="10"/>
            <rFont val="Tahoma"/>
            <family val="2"/>
          </rPr>
          <t xml:space="preserve">  &lt;Наименование стройки&gt;
</t>
        </r>
      </text>
    </comment>
    <comment ref="A6" authorId="2">
      <text>
        <r>
          <rPr>
            <sz val="8"/>
            <rFont val="Tahoma"/>
            <family val="0"/>
          </rPr>
          <t xml:space="preserve">       &lt;Индекс/ЛН локальной сметы&gt;
</t>
        </r>
      </text>
    </comment>
    <comment ref="A8" authorId="1">
      <text>
        <r>
          <rPr>
            <b/>
            <sz val="10"/>
            <rFont val="Tahoma"/>
            <family val="0"/>
          </rPr>
          <t xml:space="preserve">  на &lt;Наименование локальной сметы&gt;
</t>
        </r>
      </text>
    </comment>
    <comment ref="A18" authorId="1">
      <text>
        <r>
          <rPr>
            <sz val="10"/>
            <rFont val="Tahoma"/>
            <family val="0"/>
          </rPr>
          <t xml:space="preserve"> &lt;Номер позиции по смете&gt;
</t>
        </r>
      </text>
    </comment>
    <comment ref="B18" authorId="1">
      <text>
        <r>
          <rPr>
            <sz val="10"/>
            <rFont val="Tahoma"/>
            <family val="2"/>
          </rPr>
          <t xml:space="preserve"> &lt;Обоснование (код) позиции</t>
        </r>
        <r>
          <rPr>
            <b/>
            <sz val="10"/>
            <rFont val="Tahoma"/>
            <family val="0"/>
          </rPr>
          <t>&gt;</t>
        </r>
        <r>
          <rPr>
            <sz val="10"/>
            <rFont val="Tahoma"/>
            <family val="0"/>
          </rPr>
          <t xml:space="preserve">
</t>
        </r>
      </text>
    </comment>
    <comment ref="C18" authorId="1">
      <text>
        <r>
          <rPr>
            <sz val="10"/>
            <rFont val="Tahoma"/>
            <family val="2"/>
          </rPr>
          <t xml:space="preserve"> &lt;Наименование (текстовая часть) расценки&gt;
&lt;Обоснование коэффициентов&gt;
&lt;Формула расчета стоимости единицы&gt;
&lt;К-ты к итогам при их применении в позиции (баз. цены)&gt;</t>
        </r>
        <r>
          <rPr>
            <sz val="10"/>
            <rFont val="Tahoma"/>
            <family val="0"/>
          </rPr>
          <t xml:space="preserve">
</t>
        </r>
      </text>
    </comment>
    <comment ref="D18" authorId="1">
      <text>
        <r>
          <rPr>
            <sz val="10"/>
            <rFont val="Tahoma"/>
            <family val="2"/>
          </rPr>
          <t xml:space="preserve"> &lt;Ед. измерения по расценке&gt;</t>
        </r>
        <r>
          <rPr>
            <sz val="10"/>
            <rFont val="Tahoma"/>
            <family val="0"/>
          </rPr>
          <t xml:space="preserve">
</t>
        </r>
      </text>
    </comment>
    <comment ref="E18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</t>
        </r>
        <r>
          <rPr>
            <sz val="10"/>
            <rFont val="Tahoma"/>
            <family val="0"/>
          </rPr>
          <t xml:space="preserve">
</t>
        </r>
      </text>
    </comment>
    <comment ref="F18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&gt;</t>
        </r>
        <r>
          <rPr>
            <sz val="10"/>
            <rFont val="Tahoma"/>
            <family val="0"/>
          </rPr>
          <t xml:space="preserve">
&lt;ОЗП по позиции на единицу в базисных ценах&gt;
</t>
        </r>
      </text>
    </comment>
    <comment ref="G18" authorId="1">
      <text>
        <r>
          <rPr>
            <sz val="10"/>
            <rFont val="Tahoma"/>
            <family val="2"/>
          </rPr>
          <t xml:space="preserve"> &lt;ЭММ по позиции на единицу в базисных ценах &gt;</t>
        </r>
        <r>
          <rPr>
            <sz val="10"/>
            <rFont val="Tahoma"/>
            <family val="0"/>
          </rPr>
          <t xml:space="preserve">
&lt;ЗПМ по позиции на единицу в базисных ценах &gt;
</t>
        </r>
      </text>
    </comment>
    <comment ref="H18" authorId="3">
      <text>
        <r>
          <rPr>
            <b/>
            <sz val="8"/>
            <rFont val="Tahoma"/>
            <family val="0"/>
          </rPr>
          <t xml:space="preserve"> &lt;МАТ по позиции на единицу в базисных ценах &gt;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 &lt;Наименование индекса к позиции&gt;
 Козп=&lt;Индекс к позиции на ОЗП&gt;
Кэм=&lt;Индекс к позиции на ЭМ&gt;
Кмат=&lt;Индекс к позиции на МАТ&gt;</t>
        </r>
      </text>
    </comment>
    <comment ref="J18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&lt;Общая стоимость ОЗП по позиции для БИМ до начисления НР и СП&gt;</t>
        </r>
        <r>
          <rPr>
            <sz val="10"/>
            <rFont val="Tahoma"/>
            <family val="0"/>
          </rPr>
          <t xml:space="preserve">
</t>
        </r>
      </text>
    </comment>
    <comment ref="K18" authorId="1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  <r>
          <rPr>
            <sz val="10"/>
            <rFont val="Tahoma"/>
            <family val="0"/>
          </rPr>
          <t xml:space="preserve">
</t>
        </r>
      </text>
    </comment>
    <comment ref="L18" authorId="3">
      <text>
        <r>
          <rPr>
            <b/>
            <sz val="8"/>
            <rFont val="Tahoma"/>
            <family val="0"/>
          </rPr>
          <t xml:space="preserve"> &lt;Общая стоимость МАТ по позиции для БИМ до начисления НР и СП&gt;</t>
        </r>
      </text>
    </comment>
    <comment ref="M18" authorId="1">
      <text>
        <r>
          <rPr>
            <sz val="10"/>
            <rFont val="Tahoma"/>
            <family val="2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N18" authorId="4">
      <text>
        <r>
          <rPr>
            <b/>
            <sz val="8"/>
            <rFont val="Tahoma"/>
            <family val="0"/>
          </rPr>
          <t xml:space="preserve"> &lt;Строка задания НР в базисных ценах&gt;
&lt;Строка задания СП в базисных ценах&gt;
</t>
        </r>
      </text>
    </comment>
    <comment ref="P18" authorId="1">
      <text>
        <r>
          <rPr>
            <b/>
            <sz val="8"/>
            <rFont val="Tahoma"/>
            <family val="2"/>
          </rPr>
          <t xml:space="preserve"> =&lt;Общая стоимость ПЗ по позиции для БИМ до начисления НР и СП&gt;+&lt;Сумма НР по позиции для БИМ&gt;+&lt;Сумма СП по позиции для БИМ&gt;</t>
        </r>
      </text>
    </comment>
    <comment ref="A195" authorId="0">
      <text>
        <r>
          <rPr>
            <b/>
            <sz val="8"/>
            <rFont val="Tahoma"/>
            <family val="0"/>
          </rPr>
          <t xml:space="preserve"> &lt;Текстовая часть (итоги)&gt;</t>
        </r>
      </text>
    </comment>
    <comment ref="J195" authorId="0">
      <text>
        <r>
          <rPr>
            <b/>
            <sz val="8"/>
            <rFont val="Tahoma"/>
            <family val="0"/>
          </rPr>
          <t xml:space="preserve">  &lt;Прямые затраты (итоги)&gt;
&lt;З/п основных рабочих (итоги)&gt;</t>
        </r>
      </text>
    </comment>
    <comment ref="A208" authorId="5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A210" authorId="5">
      <text>
        <r>
          <rPr>
            <b/>
            <sz val="8"/>
            <rFont val="Tahoma"/>
            <family val="0"/>
          </rPr>
          <t xml:space="preserve"> ______________&lt;Проверил&gt;</t>
        </r>
      </text>
    </comment>
    <comment ref="K195" authorId="4">
      <text>
        <r>
          <rPr>
            <b/>
            <sz val="8"/>
            <rFont val="Tahoma"/>
            <family val="0"/>
          </rPr>
          <t xml:space="preserve"> &lt;Эксплуатация машин (итоги)&gt;
&lt;З/п машинистов (итоги)&gt;</t>
        </r>
      </text>
    </comment>
    <comment ref="L195" authorId="4">
      <text>
        <r>
          <rPr>
            <b/>
            <sz val="8"/>
            <rFont val="Tahoma"/>
            <family val="0"/>
          </rPr>
          <t xml:space="preserve"> &lt;Материалы (итоги)&gt;</t>
        </r>
      </text>
    </comment>
    <comment ref="O18" authorId="3">
      <text>
        <r>
          <rPr>
            <b/>
            <sz val="8"/>
            <rFont val="Tahoma"/>
            <family val="0"/>
          </rPr>
          <t xml:space="preserve"> &lt;Сумма НР по позиции для БИМ&gt;
&lt;Сумма СП по позиции для БИМ&gt;
</t>
        </r>
      </text>
    </comment>
  </commentList>
</comments>
</file>

<file path=xl/sharedStrings.xml><?xml version="1.0" encoding="utf-8"?>
<sst xmlns="http://schemas.openxmlformats.org/spreadsheetml/2006/main" count="1439" uniqueCount="1091">
  <si>
    <t>88,9
86,5</t>
  </si>
  <si>
    <t>2,4
1,62</t>
  </si>
  <si>
    <t>декабрь 2006 г п/п 285
 Козп=7,87
Кэм=6</t>
  </si>
  <si>
    <t>592
580</t>
  </si>
  <si>
    <t>12
11</t>
  </si>
  <si>
    <t>444
402</t>
  </si>
  <si>
    <t>ТЕР46-04-010-2</t>
  </si>
  <si>
    <t xml:space="preserve">Разборка покрытий полов дощатых
 </t>
  </si>
  <si>
    <t>100 м2 покрытия</t>
  </si>
  <si>
    <t>311,13
238,13</t>
  </si>
  <si>
    <t>73
49,28</t>
  </si>
  <si>
    <t>декабрь 2006 г п/п 8703
 Козп=7,87
Кэм=6</t>
  </si>
  <si>
    <t>492
399</t>
  </si>
  <si>
    <t>93
83</t>
  </si>
  <si>
    <t xml:space="preserve"> 93,06%
 59,5%</t>
  </si>
  <si>
    <t>362
328</t>
  </si>
  <si>
    <t>ТЕРр57-01-2</t>
  </si>
  <si>
    <t xml:space="preserve">Разборка оснований покрытия полов лаг из досок и брусков
 </t>
  </si>
  <si>
    <t>100 м2 основания</t>
  </si>
  <si>
    <t>59,83
59,83</t>
  </si>
  <si>
    <t>декабрь 2006 г п/п 278
 Козп=7,87</t>
  </si>
  <si>
    <t>100
100</t>
  </si>
  <si>
    <t xml:space="preserve"> 104,06%
 63,75%</t>
  </si>
  <si>
    <t>75
68</t>
  </si>
  <si>
    <t>ТЕР11-01-008-1</t>
  </si>
  <si>
    <t xml:space="preserve">Разборка тепло- и звукоизоляции засыпной
Коэф-ты к позиции:
Демонтаж ОЗП=0,8; ЭМ=0,8; ЗПМ=0,8; ТЗ=0,8; ТЗМ=0,8
 </t>
  </si>
  <si>
    <t>1 м3 изоляции</t>
  </si>
  <si>
    <t>63,59
35,69</t>
  </si>
  <si>
    <t>27,9
5,15</t>
  </si>
  <si>
    <t>декабрь 2006 г п/п 4177
 Козп=7,87
Кэм=4,31
Кмат=6,24</t>
  </si>
  <si>
    <t>683
479</t>
  </si>
  <si>
    <t>204
69</t>
  </si>
  <si>
    <t>570
349</t>
  </si>
  <si>
    <t>ТЕРр57-02-3</t>
  </si>
  <si>
    <t xml:space="preserve">Разборка покрытий полов из керамических плиток
 </t>
  </si>
  <si>
    <t>624,79
595,99</t>
  </si>
  <si>
    <t>28,8
19,44</t>
  </si>
  <si>
    <t>декабрь 2006 г п/п 281
 Козп=7,87
Кэм=6</t>
  </si>
  <si>
    <t>861
830</t>
  </si>
  <si>
    <t>31
27</t>
  </si>
  <si>
    <t>644
583</t>
  </si>
  <si>
    <t>ТЕР46-04-011-12</t>
  </si>
  <si>
    <t xml:space="preserve">Разборка стяжек цементных т. 25 мм
 </t>
  </si>
  <si>
    <t>935,16
246,59</t>
  </si>
  <si>
    <t>688,57
56,13</t>
  </si>
  <si>
    <t>декабрь 2006 г п/п 8716
 Козп=7,87
Кэм=4,66</t>
  </si>
  <si>
    <t>1066
402</t>
  </si>
  <si>
    <t>664
91</t>
  </si>
  <si>
    <t>459
293</t>
  </si>
  <si>
    <t>ТЕР11-01-004-01</t>
  </si>
  <si>
    <t xml:space="preserve">Устройство гидроизоляции оклеечной рулонными материалами: на мастике битуминоль первый слой
Коэф-ты к позиции:
Ремонт и реконструкция п. 1.14 Общих указаний ОЗП=1,15; ЭМ=1,25; ЗПМ=1,25; ТЗ=1,15; ТЗМ=1,25
 </t>
  </si>
  <si>
    <t>100 м2 изолируемой поверхности</t>
  </si>
  <si>
    <t>2739,39
520,45</t>
  </si>
  <si>
    <t>309,99
5,27</t>
  </si>
  <si>
    <t>декабрь 2006 г п/п 4164
 Козп=7,87
Кэм=4,49
Кмат=3,31</t>
  </si>
  <si>
    <t>409
151</t>
  </si>
  <si>
    <t>56
2</t>
  </si>
  <si>
    <t>159
98</t>
  </si>
  <si>
    <t>ТЕР11-01-004-02</t>
  </si>
  <si>
    <t xml:space="preserve">Устройство гидроизоляции оклеечной рулонными материалами: на мастике битуминоль последующий слой
Коэф-ты к позиции:
Ремонт и реконструкция п. 1.14 Общих указаний ОЗП=1,15; ЭМ=1,25; ЗПМ=1,25; ТЗ=1,15; ТЗМ=1,25
 </t>
  </si>
  <si>
    <t>1770,09
313,98</t>
  </si>
  <si>
    <t>152,03
3,11</t>
  </si>
  <si>
    <t>декабрь 2006 г п/п 4165
 Козп=7,87
Кэм=4,52
Кмат=3,03</t>
  </si>
  <si>
    <t>245
91</t>
  </si>
  <si>
    <t>27
1</t>
  </si>
  <si>
    <t>96
59</t>
  </si>
  <si>
    <t>ТЕР11-01-011-1</t>
  </si>
  <si>
    <t xml:space="preserve">Устройство стяжек цементных толщиной 20 мм выравнивающих
Коэф-ты к позиции:
Ремонт и реконструкция  п. 1.14 Общих указаний ОЗП=1,15; ЭМ-ЗПМ=1,25; ЗПМ=1,25; ТЗМ=1,25
 </t>
  </si>
  <si>
    <t>100 м2 стяжки</t>
  </si>
  <si>
    <t>1471,11
314,1</t>
  </si>
  <si>
    <t>29,94
17,15</t>
  </si>
  <si>
    <t>декабрь 2006 г п/п 4183
 Козп=7,87
Кэм=6
Кмат=3,7</t>
  </si>
  <si>
    <t>1498
588</t>
  </si>
  <si>
    <t>46
35</t>
  </si>
  <si>
    <t>648
397</t>
  </si>
  <si>
    <t>ТЕР11-01-011-2</t>
  </si>
  <si>
    <t xml:space="preserve">Добавляется на каждые 5 мм изменения толщины стяжки до 40 мм
Коэф-ты к позиции:
Ремонт и реконструкция  п. 1.14 Общих указаний ОЗП=1,15; ЭМ-ЗПМ=1,25; ЗПМ=1,25; ТЗМ=1,25;
Увеличение толщины на 20 мм ПЗ=4; ОЗП=4; ЭМ=4; ЗПМ=4; МАТ=4; ТЗ=4; ТЗМ=4
 </t>
  </si>
  <si>
    <t>288,97
3,98</t>
  </si>
  <si>
    <t>5,36
2,84</t>
  </si>
  <si>
    <t>декабрь 2006 г п/п 4184
 Козп=7,87
Кэм=6
Кмат=3,7</t>
  </si>
  <si>
    <t>920
30</t>
  </si>
  <si>
    <t>33
23</t>
  </si>
  <si>
    <t>55
34</t>
  </si>
  <si>
    <t>ТЕР11-01-027-2</t>
  </si>
  <si>
    <t xml:space="preserve">Устройство покрытий на цементном растворе из плиток керамических для полов многоцветных
Коэф-ты к позиции:
Ремонт и реконструкция  п. 1.14 Общих указаний ОЗП=1,15; ЭМ-ЗПМ=1,25; ЗПМ=1,25; ТЗМ=1,25
 </t>
  </si>
  <si>
    <t>8892,23
1048,08</t>
  </si>
  <si>
    <t>99,51
34,67</t>
  </si>
  <si>
    <t>декабрь 2006 г п/п 4244
 Козп=7,87
Кэм=5,16
Кмат=2,97</t>
  </si>
  <si>
    <t>5864
1679</t>
  </si>
  <si>
    <t>114
60</t>
  </si>
  <si>
    <t>1810
1109</t>
  </si>
  <si>
    <t>ТЕР11-01-027-01</t>
  </si>
  <si>
    <t xml:space="preserve">Устройство покрытий на цементном растворе из плиток: бетонных, цементных или мозаичных
Коэф-ты к позиции:
Ремонт и реконструкция п. 1.14 Общих указаний ОЗП=1,15; ЭМ=1,25; ЗПМ=1,25; ТЗ=1,15; ТЗМ=1,25
 </t>
  </si>
  <si>
    <t>8802,07
675,69</t>
  </si>
  <si>
    <t>147,14
38,32</t>
  </si>
  <si>
    <t>декабрь 2006 г п/п 4243
 Козп=7,87
Кэм=5,16
Кмат=2,9</t>
  </si>
  <si>
    <t>906
183</t>
  </si>
  <si>
    <t>28
11</t>
  </si>
  <si>
    <t>202
124</t>
  </si>
  <si>
    <t>ТЕР12-01-015-3 прим.</t>
  </si>
  <si>
    <t xml:space="preserve">Устройство прокладочной пароизоляции
Коэф-ты к позиции:
Ремонт и реконструкция  (п 1.14) ОЗП=1,15; ЭМ=1,25; ЗПМ=1,25; ТЗ=1,15; ТЗМ=1,25
 </t>
  </si>
  <si>
    <t>950,94
68,6</t>
  </si>
  <si>
    <t>30,84
1,76</t>
  </si>
  <si>
    <t>декабрь 2006 г п/п 4355
 Козп=7,87
Кэм=4,71
Кмат=2,41</t>
  </si>
  <si>
    <t>608
132</t>
  </si>
  <si>
    <t>39
4</t>
  </si>
  <si>
    <t xml:space="preserve"> 101,52%
 55,25%</t>
  </si>
  <si>
    <t>138
75</t>
  </si>
  <si>
    <t>ТЕР26-01-039-01</t>
  </si>
  <si>
    <t xml:space="preserve">Изоляция поверхностей пола изделиями из волокнистых  материалов насухо
Коэф-ты к позиции:
Ремонт и реконструкция п. 1.14 Общих указаний ОЗП=1,15; ЭМ=1,25; ЗПМ=1,25; ТЗ=1,15; ТЗМ=1,25
 </t>
  </si>
  <si>
    <t>1715,76
98,39</t>
  </si>
  <si>
    <t>декабрь 2006 г п/п 7944
 Козп=7,87
Кэм=4,96
Кмат=3,75</t>
  </si>
  <si>
    <t>7503
944</t>
  </si>
  <si>
    <t xml:space="preserve"> 84,6%
 59,5%</t>
  </si>
  <si>
    <t>799
562</t>
  </si>
  <si>
    <t>ТЕР11-01-012-02</t>
  </si>
  <si>
    <t xml:space="preserve">Укладка лаг: по кирпичным подкладкам
Коэф-ты к позиции:
Ремонт и реконструкция п. 1.14 Общих указаний ОЗП=1,15; ЭМ=1,25; ЗПМ=1,25; ТЗ=1,15; ТЗМ=1,25
 </t>
  </si>
  <si>
    <t>100 м2 пола</t>
  </si>
  <si>
    <t>3729,47
366,45</t>
  </si>
  <si>
    <t>53,91
6,61</t>
  </si>
  <si>
    <t>декабрь 2006 г п/п 4191
 Козп=7,87
Кэм=4,98
Кмат=2,43</t>
  </si>
  <si>
    <t>2491
706</t>
  </si>
  <si>
    <t>71
14</t>
  </si>
  <si>
    <t>749
459</t>
  </si>
  <si>
    <t>ТЕР11-01-033-02</t>
  </si>
  <si>
    <t xml:space="preserve">Устройство покрытий дощатых: толщиной 36 мм
Коэф-ты к позиции:
Ремонт и реконструкция п. 1.14 Общих указаний ОЗП=1,15; ЭМ=1,25; ЗПМ=1,25; ТЗ=1,15; ТЗМ=1,25
 </t>
  </si>
  <si>
    <t>8748,59
569,04</t>
  </si>
  <si>
    <t>119,25
10,26</t>
  </si>
  <si>
    <t>декабрь 2006 г п/п 4263
 Козп=7,87
Кэм=5,05
Кмат=3,65</t>
  </si>
  <si>
    <t>7524
1097</t>
  </si>
  <si>
    <t>160
22</t>
  </si>
  <si>
    <t>1164
713</t>
  </si>
  <si>
    <t>ТЕР11-01-035-4</t>
  </si>
  <si>
    <t xml:space="preserve">Устройство покрытий из фанеры т. 15 мм (без стоимости фанеры)
Коэф-ты к позиции:
Ремонт и реконструкция ОЗП=1,15; ЭМ=1,25; ЗПМ=1,25; ТЗ=1,15; ТЗМ=1,25
551,41 = 4 488,93 - 3 834,00 x 1,027
 </t>
  </si>
  <si>
    <t>4488,93
413,34</t>
  </si>
  <si>
    <t>74,59
7,83</t>
  </si>
  <si>
    <t>декабрь 2006 г п/п 4271
 Козп=7,87
Кэм=5,19
Кмат=2,99</t>
  </si>
  <si>
    <t>3759
3185</t>
  </si>
  <si>
    <t>412
66</t>
  </si>
  <si>
    <t>3383
2073</t>
  </si>
  <si>
    <t>СЦМ-102-0268</t>
  </si>
  <si>
    <t xml:space="preserve">Фанера бакелизированная марки ФБС, толщиной 14-18 мм
 </t>
  </si>
  <si>
    <t>м3</t>
  </si>
  <si>
    <t>СЦМ-101-0608</t>
  </si>
  <si>
    <t xml:space="preserve">Мастика клеящая Гумилакс
 </t>
  </si>
  <si>
    <t>т</t>
  </si>
  <si>
    <t>СЦМ-101-1810</t>
  </si>
  <si>
    <t xml:space="preserve">Винты самонарезающие
 </t>
  </si>
  <si>
    <t>ФЕРр57-06-05</t>
  </si>
  <si>
    <t xml:space="preserve">Шлифовка фанеры
 </t>
  </si>
  <si>
    <t>2018,49
406,75</t>
  </si>
  <si>
    <t>декабрь 2006 г п/п 301
 Козп=7,87
Кэм=4,31
Кмат=2,19</t>
  </si>
  <si>
    <t>6591
2726</t>
  </si>
  <si>
    <t>2050
1854</t>
  </si>
  <si>
    <t>ТЕР15-04-029-4</t>
  </si>
  <si>
    <t xml:space="preserve">Проклейка швов в фанере
Коэф-ты к позиции:
Ремонт и реконструкция (Общие указания п. 1.14) ОЗП=1,15; ЭМ=1,25; ЗПМ=1,25; ТЗМ=1,25
 </t>
  </si>
  <si>
    <t>100 м2 отделываемой поверхности</t>
  </si>
  <si>
    <t>1163,86
154,91</t>
  </si>
  <si>
    <t>9,45
0,27</t>
  </si>
  <si>
    <t>декабрь 2006 г п/п 5235
 Козп=7,87
Кэм=5,08
Кмат=2,2</t>
  </si>
  <si>
    <t>3117
1194</t>
  </si>
  <si>
    <t>51
2</t>
  </si>
  <si>
    <t xml:space="preserve"> 88,83%
 46,75%</t>
  </si>
  <si>
    <t>1062
559</t>
  </si>
  <si>
    <t>ТЕР11-01-036-02</t>
  </si>
  <si>
    <t xml:space="preserve">Устройство покрытий из линолеума на клее: КН-2
Коэф-ты к позиции:
Ремонт и реконструкция п. 1.14 Общих указаний ОЗП=1,15; ЭМ=1,25; ЗПМ=1,25; ТЗ=1,15; ТЗМ=1,25
 </t>
  </si>
  <si>
    <t>6931,87
352,34</t>
  </si>
  <si>
    <t>44,7
4,73</t>
  </si>
  <si>
    <t>декабрь 2006 г п/п 4273
 Козп=7,87
Кэм=5,19
Кмат=3,04</t>
  </si>
  <si>
    <t>19878
2715</t>
  </si>
  <si>
    <t>247
40</t>
  </si>
  <si>
    <t>2867
1756</t>
  </si>
  <si>
    <t>СЦМ-101-0609</t>
  </si>
  <si>
    <t xml:space="preserve">
</t>
  </si>
  <si>
    <r>
      <t xml:space="preserve">        </t>
    </r>
    <r>
      <rPr>
        <sz val="12"/>
        <rFont val="Arial Cyr"/>
        <family val="0"/>
      </rPr>
      <t>Приложение №5</t>
    </r>
  </si>
  <si>
    <t xml:space="preserve">Мастика клеящая каучуковая КН-2
 </t>
  </si>
  <si>
    <t>кг</t>
  </si>
  <si>
    <t>СЦМ-113-0302</t>
  </si>
  <si>
    <t xml:space="preserve">Мастика клеящая кумаронокаучуковая КН-3
 </t>
  </si>
  <si>
    <t>ТЕР11-01-040-2</t>
  </si>
  <si>
    <t xml:space="preserve">Устройство плинтусов поливинилхлоридных на мастике кумароно-каучуковой КН-3
Коэф-ты к позиции:
Ремонт и реконструкция  (п 1.14) ОЗП=1,15; ЭМ=1,25; ЗПМ=1,25; ТЗ=1,15; ТЗМ=1,25
 </t>
  </si>
  <si>
    <t>638,72
87,83</t>
  </si>
  <si>
    <t>декабрь 2006 г п/п 4291
 Козп=7,87
Кэм=5,04
Кмат=2,82</t>
  </si>
  <si>
    <t>2222
750</t>
  </si>
  <si>
    <t>780
478</t>
  </si>
  <si>
    <t xml:space="preserve">                           Раздел 2. Стены</t>
  </si>
  <si>
    <t>ТЕР46-04-001-04</t>
  </si>
  <si>
    <t xml:space="preserve">Разборка: стен кирпичных
 </t>
  </si>
  <si>
    <t>1 м3</t>
  </si>
  <si>
    <t>214,92
73,01</t>
  </si>
  <si>
    <t>141,91
11,57</t>
  </si>
  <si>
    <t>декабрь 2006 г п/п 8671
 Козп=7,87
Кэм=4,66</t>
  </si>
  <si>
    <t>6476
3011</t>
  </si>
  <si>
    <t>3465
477</t>
  </si>
  <si>
    <t>3246
2075</t>
  </si>
  <si>
    <t>ТЕРр63-05-02</t>
  </si>
  <si>
    <t xml:space="preserve">Снятие обоев
 </t>
  </si>
  <si>
    <t>100 м2 очищаемой поверхности</t>
  </si>
  <si>
    <t>88,14
88,14</t>
  </si>
  <si>
    <t>декабрь 2006 г п/п 1037
 Козп=7,87</t>
  </si>
  <si>
    <t>2028
2028</t>
  </si>
  <si>
    <t xml:space="preserve"> 72,38%
 50%</t>
  </si>
  <si>
    <t>1468
1014</t>
  </si>
  <si>
    <t>ТЕР46-02-009-2</t>
  </si>
  <si>
    <t xml:space="preserve">Срубка штукатурки стен пораженной грибком
 </t>
  </si>
  <si>
    <t>100 м2</t>
  </si>
  <si>
    <t>178
178</t>
  </si>
  <si>
    <t>декабрь 2006 г п/п 8564
 Козп=7,87</t>
  </si>
  <si>
    <t>691
691</t>
  </si>
  <si>
    <t>643
411</t>
  </si>
  <si>
    <t>ТЕР15-04-005-01</t>
  </si>
  <si>
    <t xml:space="preserve">Обработка стен противогрибковым составом
Коэф-ты к позиции:
Ремонт и реконструкция ОЗП=1,15; ЭМ=1,25; ЗПМ=1,25; ТЗ=1,15; ТЗМ=1,25
 </t>
  </si>
  <si>
    <t>100 м2 окрашиваемой поверхности</t>
  </si>
  <si>
    <t>969,07
136,16</t>
  </si>
  <si>
    <t>6,23
0,14</t>
  </si>
  <si>
    <t>декабрь 2006 г п/п 5161
 Козп=7,87
Кэм=5,07
Кмат=1,71</t>
  </si>
  <si>
    <t>1324
608</t>
  </si>
  <si>
    <t>19
1</t>
  </si>
  <si>
    <t>541
285</t>
  </si>
  <si>
    <t>ТЕР15-04-024-08</t>
  </si>
  <si>
    <t xml:space="preserve">Дополнительная окраска масляными составами мест протечек
Коэф-ты к позиции:
Ремонт и реконструкция п. 1.14 Общих указаний ОЗП=1,15; ЭМ=1,25; ЗПМ=1,25; ТЗ=1,15; ТЗМ=1,25
 </t>
  </si>
  <si>
    <t>837,04
184,8</t>
  </si>
  <si>
    <t>3,97
0,14</t>
  </si>
  <si>
    <t>декабрь 2006 г п/п 5202
 Козп=7,87
Кэм=5,09
Кмат=2,08</t>
  </si>
  <si>
    <t>1502
825</t>
  </si>
  <si>
    <t>12
1</t>
  </si>
  <si>
    <t>734
386</t>
  </si>
  <si>
    <t>ТЕРр61-02-7</t>
  </si>
  <si>
    <t xml:space="preserve">Ремонт штукатурки внутренних стен по камню и бетону
 </t>
  </si>
  <si>
    <t>100 м2 отремонтированной поверхности</t>
  </si>
  <si>
    <t>3176,81
2023,18</t>
  </si>
  <si>
    <t>13,4
9,05</t>
  </si>
  <si>
    <t>декабрь 2006 г п/п 537
 Козп=7,87
Кэм=6
Кмат=3,27</t>
  </si>
  <si>
    <t>10497
8471</t>
  </si>
  <si>
    <t>43
38</t>
  </si>
  <si>
    <t xml:space="preserve"> 74,26%
 50%</t>
  </si>
  <si>
    <t>6319
4255</t>
  </si>
  <si>
    <t>ТЕРр61-06-4</t>
  </si>
  <si>
    <t xml:space="preserve">Устройство дополнительного слоя штукатурки  из раствора толщиной 20мм (объем =0,532х2=1,064)
 </t>
  </si>
  <si>
    <t>1096,18
519,69</t>
  </si>
  <si>
    <t>6,8
4,59</t>
  </si>
  <si>
    <t>декабрь 2006 г п/п 570
 Козп=7,87
Кэм=6
Кмат=3,27</t>
  </si>
  <si>
    <t>6377
4352</t>
  </si>
  <si>
    <t>3260
2195</t>
  </si>
  <si>
    <t>ТЕРр63-07-5</t>
  </si>
  <si>
    <t xml:space="preserve">Разборка облицовки стен из плит и плиток керамических глазурованных плиток
 </t>
  </si>
  <si>
    <t>100 м2 поверхности облицовки</t>
  </si>
  <si>
    <t>810,52
584,74</t>
  </si>
  <si>
    <t>225,78
21,23</t>
  </si>
  <si>
    <t>декабрь 2006 г п/п 1045
 Козп=7,87
Кэм=4,42</t>
  </si>
  <si>
    <t>862
709</t>
  </si>
  <si>
    <t>153
26</t>
  </si>
  <si>
    <t>532
368</t>
  </si>
  <si>
    <t xml:space="preserve">Срубка штукатурки стен
 </t>
  </si>
  <si>
    <t>144
144</t>
  </si>
  <si>
    <t>134
86</t>
  </si>
  <si>
    <t>ТЕР46-02-007-01</t>
  </si>
  <si>
    <t xml:space="preserve">Кладка отдельных участков кирпичных стен и заделка проемов в кирпичных стенах при объеме кладки в одном месте: до 5 м3
 </t>
  </si>
  <si>
    <t>947,3
119,38</t>
  </si>
  <si>
    <t>декабрь 2006 г п/п 8560
 Козп=7,87
Кэм=4,2
Кмат=2,91</t>
  </si>
  <si>
    <t>8044
2255</t>
  </si>
  <si>
    <t>2099
1342</t>
  </si>
  <si>
    <t>ТЕР26-01-041-01</t>
  </si>
  <si>
    <t xml:space="preserve">Изоляция изделиями из пенопласта закладки проемов
 </t>
  </si>
  <si>
    <t>1438,69
177,52</t>
  </si>
  <si>
    <t>декабрь 2006 г п/п 7946
 Козп=7,87
Кэм=4,77
Кмат=2,52</t>
  </si>
  <si>
    <t>2053
615</t>
  </si>
  <si>
    <t>520
366</t>
  </si>
  <si>
    <t>ТЕР46-03-007-03</t>
  </si>
  <si>
    <t xml:space="preserve">Пробивка проемов в конструкциях: из кирпича
 </t>
  </si>
  <si>
    <t>423,77
110,33</t>
  </si>
  <si>
    <t>313,44
25,55</t>
  </si>
  <si>
    <t>декабрь 2006 г п/п 8632
 Козп=7,87
Кэм=4,66</t>
  </si>
  <si>
    <t>2026
755</t>
  </si>
  <si>
    <t>1271
175</t>
  </si>
  <si>
    <t>865
553</t>
  </si>
  <si>
    <t>ТЕРр53-25-1</t>
  </si>
  <si>
    <t xml:space="preserve">Устройство металлических перемычек в стенах существующих зданий
 </t>
  </si>
  <si>
    <t>1 т металлоконструкций перемычек</t>
  </si>
  <si>
    <t>11334,51
1433,2</t>
  </si>
  <si>
    <t>83,7
4,73</t>
  </si>
  <si>
    <t>декабрь 2006 г п/п 158
 Козп=7,87
Кэм=4,51
Кмат=3,97</t>
  </si>
  <si>
    <t>2795
623</t>
  </si>
  <si>
    <t>21
2</t>
  </si>
  <si>
    <t xml:space="preserve"> 80,84%
 70%</t>
  </si>
  <si>
    <t>505
438</t>
  </si>
  <si>
    <t>ТЕР15-02-036-5</t>
  </si>
  <si>
    <t xml:space="preserve">Штукатурка по сетке без устройства каркаса металлических перемычек
Коэф-ты к позиции:
Ремонт и реконструкция  (п 1.14) ОЗП=1,15; ЭМ=1,25; ЗПМ=1,25; ТЗ=1,15; ТЗМ=1,25
 </t>
  </si>
  <si>
    <t>100 м2 оштукатуриваемой поверхности</t>
  </si>
  <si>
    <t>8610,71
3519,5</t>
  </si>
  <si>
    <t>43,8
22,47</t>
  </si>
  <si>
    <t>декабрь 2006 г п/п 5075
 Козп=7,87
Кэм=5,44
Кмат=3,57</t>
  </si>
  <si>
    <t>331
210</t>
  </si>
  <si>
    <t>2
1</t>
  </si>
  <si>
    <t>187
99</t>
  </si>
  <si>
    <t>ТЕР15-02-016-03</t>
  </si>
  <si>
    <t xml:space="preserve">Оштукатуривание поверхностей цементно-известковым или цементным раствором по камню и бетону: улучшенное стен
Коэф-ты к позиции:
Ремонт и реконструкция п. 1.14 Общих указаний ОЗП=1,15; ЭМ=1,25; ЗПМ=1,25; ТЗ=1,15; ТЗМ=1,25
 </t>
  </si>
  <si>
    <t>2038,32
807,75</t>
  </si>
  <si>
    <t>100,19
66,17</t>
  </si>
  <si>
    <t>декабрь 2006 г п/п 5013
 Козп=7,87
Кэм=6,56
Кмат=3,38</t>
  </si>
  <si>
    <t>717
439</t>
  </si>
  <si>
    <t>49
39</t>
  </si>
  <si>
    <t>425
223</t>
  </si>
  <si>
    <t>ТЕР15-02-036-1</t>
  </si>
  <si>
    <t xml:space="preserve">Штукатурка по сетке без устройства каркаса улучшенная стен под облицовку плиткой
Коэф-ты к позиции:
Ремонт и реконструкция  (п 1.14) ОЗП=1,15; ЭМ=1,25; ЗПМ=1,25; ТЗ=1,15; ТЗМ=1,25
 </t>
  </si>
  <si>
    <t>6001,13
1194,24</t>
  </si>
  <si>
    <t>38,6
18,96</t>
  </si>
  <si>
    <t>декабрь 2006 г п/п 5071
 Козп=7,87
Кэм=5,37
Кмат=3,62</t>
  </si>
  <si>
    <t>6527
2490</t>
  </si>
  <si>
    <t>60
43</t>
  </si>
  <si>
    <t>2250
1184</t>
  </si>
  <si>
    <t xml:space="preserve">Устройство дополнительного слоя штукатурки  из раствора толщиной 10мм
 </t>
  </si>
  <si>
    <t>1381
942</t>
  </si>
  <si>
    <t>9
8</t>
  </si>
  <si>
    <t>705
475</t>
  </si>
  <si>
    <t>ТЕР15-01-019-1</t>
  </si>
  <si>
    <t xml:space="preserve">Гладкая облицовка стен, столбов, пилястр и откосов (без карнизных, плинтусных и угловых плиток) без установки плиток туалетного гарнитура
Коэф-ты к позиции:
Ремонт и реконструкция  п. 1.14 Общих указаний ОЗП=1,15; ЭМ=1,25; ЗПМ=1,25; ТЗМ=1,25
 </t>
  </si>
  <si>
    <t>10002,53
2095,32</t>
  </si>
  <si>
    <t>20,7
11,44</t>
  </si>
  <si>
    <t>декабрь 2006 г п/п 4777
 Козп=7,87
Кэм=5,58
Кмат=2,8</t>
  </si>
  <si>
    <t>9490
4369</t>
  </si>
  <si>
    <t>33
26</t>
  </si>
  <si>
    <t>3904
2055</t>
  </si>
  <si>
    <t>ТЕР10-04-011-04</t>
  </si>
  <si>
    <t xml:space="preserve">Устройство перегородок высотой до 3 м в общественных зданиях с двухсторонней обшивкой гипсокартонными листами или гипсоволокнистыми плитами: в два слоя с изоляцией
Коэф-ты к позиции:
Ремонт и реконструкция п. 1.14 ОЗП=1,15; ЭМ=1,25; ЗПМ=1,25; ТЗ=1,15; ТЗМ=1,25
 </t>
  </si>
  <si>
    <t>100 м2 перегородок за вычетом проемов</t>
  </si>
  <si>
    <t>27326,45
2701,94</t>
  </si>
  <si>
    <t>388,37
14,31</t>
  </si>
  <si>
    <t>декабрь 2006 г п/п 4144
 Козп=7,87
Кэм=4,57
Кмат=2,54</t>
  </si>
  <si>
    <t>15044
4169</t>
  </si>
  <si>
    <t>378
24</t>
  </si>
  <si>
    <t xml:space="preserve"> 99,83%
 53,55%</t>
  </si>
  <si>
    <t>4186
2245</t>
  </si>
  <si>
    <t>ТЕР10-04-011-01</t>
  </si>
  <si>
    <t xml:space="preserve">Устройство перегородок высотой до 3 м в общественных зданиях с двухсторонней обшивкой гипсокартонными листами или гипсоволокнистыми плитами: в один слой без изоляции
Коэф-ты к позиции:
Ремонт и реконструкция п. 1.14 Общих указаний ОЗП=1,15; ЭМ=1,25; ЗПМ=1,25; ТЗ=1,15; ТЗМ=1,25
 </t>
  </si>
  <si>
    <t>13680,31
1692,42</t>
  </si>
  <si>
    <t>203,45
7,02</t>
  </si>
  <si>
    <t>декабрь 2006 г п/п 4141
 Козп=7,87
Кэм=4,56
Кмат=2,41</t>
  </si>
  <si>
    <t>3904
1333</t>
  </si>
  <si>
    <t>101
6</t>
  </si>
  <si>
    <t>1337
717</t>
  </si>
  <si>
    <t>ТЕР10-04-012-03</t>
  </si>
  <si>
    <t xml:space="preserve">Оформление (обделка) дверных проемов в перегородках с каркасом из стальных профилей ПС-3 и ПН-3: общественных зданий
Коэф-ты к позиции:
Ремонт и реконструкция п. 1.14 Общих указаний ОЗП=1,15; ЭМ=1,25; ЗПМ=1,25; ТЗ=1,15; ТЗМ=1,25
 </t>
  </si>
  <si>
    <t>100 шт. проемов</t>
  </si>
  <si>
    <t>4298,09
708,57</t>
  </si>
  <si>
    <t>декабрь 2006 г п/п 4147
 Козп=7,87
Кэм=4,45
Кмат=2,47</t>
  </si>
  <si>
    <t>157
64</t>
  </si>
  <si>
    <t>64
34</t>
  </si>
  <si>
    <t>ТЕРр61-01-09</t>
  </si>
  <si>
    <t xml:space="preserve">Сплошное выравнивание штукатурки внутри здания (однослойная штукатурка) сухой растворной смесью (типа "Ветонит") толщиной до 10 мм для последующей окраски или оклейки обоями: стен
 </t>
  </si>
  <si>
    <t>100 м2 поверхности</t>
  </si>
  <si>
    <t>11821,99
721,03</t>
  </si>
  <si>
    <t>27,06
20,7</t>
  </si>
  <si>
    <t>декабрь 2006 г п/п 527
 Козп=7,87
Кэм=5,34
Кмат=2,13</t>
  </si>
  <si>
    <t>79191
15281</t>
  </si>
  <si>
    <t>389
439</t>
  </si>
  <si>
    <t>11674
7860</t>
  </si>
  <si>
    <t>ТЕР13-03-005-01</t>
  </si>
  <si>
    <t xml:space="preserve">Дополнительная шпатлевка стен под оклейку обоями
Коэф-ты к позиции:
Ремонт и реконструкция п. 1.14 Общих указаний ОЗП=1,15; ЭМ=1,25; ЗПМ=1,25; ТЗ=1,15; ТЗМ=1,25
 </t>
  </si>
  <si>
    <t>100 м2 шпатлюемой поверхности</t>
  </si>
  <si>
    <t>1804,93
549,5</t>
  </si>
  <si>
    <t>82,19
30,48</t>
  </si>
  <si>
    <t>декабрь 2006 г п/п 4508
 Козп=7,87
Кэм=5,43
Кмат=2,48</t>
  </si>
  <si>
    <t>25609
15089</t>
  </si>
  <si>
    <t>1693
910</t>
  </si>
  <si>
    <t xml:space="preserve"> 76,14%
 59,5%</t>
  </si>
  <si>
    <t>12182
9519</t>
  </si>
  <si>
    <t>ТЕР15-06-001-02</t>
  </si>
  <si>
    <t xml:space="preserve">Оклейка виниловыми обоями стен
Коэф-ты к позиции:
Ремонт и реконструкция п. 1.14 Общих указаний ОЗП=1,15; ЭМ=1,25; ЗПМ=1,25; ТЗ=1,15; ТЗМ=1,25
 </t>
  </si>
  <si>
    <t>100 м2 оклеиваемой и обиваемой поверхности</t>
  </si>
  <si>
    <t>3592,87
426,31</t>
  </si>
  <si>
    <t>0,95
0,14</t>
  </si>
  <si>
    <t>декабрь 2006 г п/п 5354
 Козп=7,87
Кэм=5,24
Кмат=2,39</t>
  </si>
  <si>
    <t>34680
11706</t>
  </si>
  <si>
    <t>19
4</t>
  </si>
  <si>
    <t>10402
5474</t>
  </si>
  <si>
    <t>ТЕР15-04-005-05</t>
  </si>
  <si>
    <t xml:space="preserve">Окраска поливинилацетатными водоэмульсионными составами улучшенная по обоям стен
Коэф-ты к позиции:
Ремонт и реконструкция п. 1.14 Общих указаний ОЗП=1,15; ЭМ=1,25; ЗПМ=1,25; ТЗ=1,15; ТЗМ=1,25
 </t>
  </si>
  <si>
    <t>1233,06
227,93</t>
  </si>
  <si>
    <t>7,74
0,14</t>
  </si>
  <si>
    <t>декабрь 2006 г п/п 5165
 Козп=7,87
Кэм=5,06
Кмат=1,71</t>
  </si>
  <si>
    <t>13193
7129</t>
  </si>
  <si>
    <t>169
5</t>
  </si>
  <si>
    <t>6337
3335</t>
  </si>
  <si>
    <t xml:space="preserve">                           Раздел 3. Потолки</t>
  </si>
  <si>
    <t>ТЕРр61-04-07</t>
  </si>
  <si>
    <t xml:space="preserve">Ремонт штукатурки потолков по камню и бетону цементно-известковым раствором, площадью отдельных мест до 1 м2: толщиной слоя до 20 мм
 </t>
  </si>
  <si>
    <t>3815,32
2603,72</t>
  </si>
  <si>
    <t>14,4
9,72</t>
  </si>
  <si>
    <t>декабрь 2006 г п/п 555
 Козп=7,87
Кэм=6
Кмат=3,27</t>
  </si>
  <si>
    <t>3111
2602</t>
  </si>
  <si>
    <t>11
10</t>
  </si>
  <si>
    <t>1940
1306</t>
  </si>
  <si>
    <t>ТЕР15-04-005-02</t>
  </si>
  <si>
    <t xml:space="preserve">Обработка мест протечек потолков антигрибковым составом
Коэф-ты к позиции:
Ремонт и реконструкция ОЗП=1,15; ЭМ=1,25; ЗПМ=1,25; ТЗ=1,15; ТЗМ=1,25
 </t>
  </si>
  <si>
    <t>1065,2
151,95</t>
  </si>
  <si>
    <t>6,99
0,14</t>
  </si>
  <si>
    <t>декабрь 2006 г п/п 5162
 Козп=7,87
Кэм=5,07
Кмат=1,71</t>
  </si>
  <si>
    <t>377
175</t>
  </si>
  <si>
    <t>155
82</t>
  </si>
  <si>
    <t>ТЕР15-04-024-09</t>
  </si>
  <si>
    <t xml:space="preserve">Простая окраска масляными составами по штукатурке и сборным конструкциям, подготовленным под окраску: потолков в местах протечек
Коэф-ты к позиции:
Ремонт и реконструкция п. 1.14 Общих указаний ОЗП=1,15; ЭМ=1,25; ЗПМ=1,25; ТЗ=1,15; ТЗМ=1,25
 </t>
  </si>
  <si>
    <t>1148,24
200,2</t>
  </si>
  <si>
    <t>декабрь 2006 г п/п 5203
 Козп=7,87
Кэм=5,09
Кмат=2,03</t>
  </si>
  <si>
    <t>477
230</t>
  </si>
  <si>
    <t>204
108</t>
  </si>
  <si>
    <t>ТЕРр61-01-10</t>
  </si>
  <si>
    <t xml:space="preserve">Сплошное выравнивание штукатурки внутри здания (однослойная штукатурка) сухой растворной смесью (типа "Ветонит") толщиной до 10 мм для последующей окраски или оклейки обоями: потолков
 </t>
  </si>
  <si>
    <t>13858,51
916,45</t>
  </si>
  <si>
    <t>30,03
23,11</t>
  </si>
  <si>
    <t>декабрь 2006 г п/п 528
 Козп=7,87
Кэм=5,31
Кмат=2,13</t>
  </si>
  <si>
    <t>1116
231</t>
  </si>
  <si>
    <t>5
6</t>
  </si>
  <si>
    <t>176
119</t>
  </si>
  <si>
    <t>ТЕР15-04-005-04</t>
  </si>
  <si>
    <t xml:space="preserve">Окраска поливинилацетатными водоэмульсионными составами улучшенная: по штукатурке потолков
Коэф-ты к позиции:
Ремонт и реконструкция  (п 1.14) ОЗП=1,15; ЭМ=1,25; ЗПМ=1,25; ТЗ=1,15; ТЗМ=1,25
 </t>
  </si>
  <si>
    <t>1800,92
483,48</t>
  </si>
  <si>
    <t>12,46
0,27</t>
  </si>
  <si>
    <t>декабрь 2006 г п/п 5164
 Козп=7,87
Кэм=5,07
Кмат=1,79</t>
  </si>
  <si>
    <t>669
431</t>
  </si>
  <si>
    <t>383
201</t>
  </si>
  <si>
    <t>ТЕР15-01-047-15</t>
  </si>
  <si>
    <t xml:space="preserve">Устройство подвесных потолков из декоративных акустических плит "Армстронг" типа "Baikal"
Коэф-ты к позиции:
Ремонт и реконструкция п. 1.14 Общих указаний ОЗП=1,15; ЭМ=1,25; ЗПМ=1,25; ТЗ=1,15; ТЗМ=1,25
 </t>
  </si>
  <si>
    <t>5995,32
1694,88</t>
  </si>
  <si>
    <t>21,68
4,05</t>
  </si>
  <si>
    <t>декабрь 2006 г п/п 4936
 Козп=7,87
Кэм=4,86
Кмат=4,24</t>
  </si>
  <si>
    <t>28622
13062</t>
  </si>
  <si>
    <t>112
34</t>
  </si>
  <si>
    <t>11633
6122</t>
  </si>
  <si>
    <t xml:space="preserve">                           Раздел 4. Проемы</t>
  </si>
  <si>
    <t>ТЕРр56-11-1</t>
  </si>
  <si>
    <t xml:space="preserve">Снятие наличников
 </t>
  </si>
  <si>
    <t>100 м наличников</t>
  </si>
  <si>
    <t>33,47
33,47</t>
  </si>
  <si>
    <t>декабрь 2006 г п/п 225
 Козп=7,87</t>
  </si>
  <si>
    <t>219
219</t>
  </si>
  <si>
    <t xml:space="preserve"> 77,08%
 62%</t>
  </si>
  <si>
    <t>169
136</t>
  </si>
  <si>
    <t>ТЕРр56-10-1</t>
  </si>
  <si>
    <t xml:space="preserve">Снятие дверных полотен
 </t>
  </si>
  <si>
    <t>100 м2 дверных полотен</t>
  </si>
  <si>
    <t>288,43
288,43</t>
  </si>
  <si>
    <t>декабрь 2006 г п/п 224
 Козп=7,87</t>
  </si>
  <si>
    <t>364
364</t>
  </si>
  <si>
    <t>281
226</t>
  </si>
  <si>
    <t>ТЕРр56-09-1</t>
  </si>
  <si>
    <t xml:space="preserve">Демонтаж дверных коробок в каменных стенах с отбивкой штукатурки откосов
 </t>
  </si>
  <si>
    <t>100 коробок</t>
  </si>
  <si>
    <t>1967,42
1437,99</t>
  </si>
  <si>
    <t>529,43
39,94</t>
  </si>
  <si>
    <t>декабрь 2006 г п/п 221
 Козп=7,87
Кэм=4,37</t>
  </si>
  <si>
    <t>1090
905</t>
  </si>
  <si>
    <t>185
25</t>
  </si>
  <si>
    <t>717
577</t>
  </si>
  <si>
    <t xml:space="preserve">Срубка штукатурки дверных оконных откосов
 </t>
  </si>
  <si>
    <t>227
227</t>
  </si>
  <si>
    <t>211
135</t>
  </si>
  <si>
    <t>ТЕР46-04-012-1</t>
  </si>
  <si>
    <t xml:space="preserve">Разборка деревянных заполнений проемов оконных с подоконными досками
 </t>
  </si>
  <si>
    <t>1680,09
1525,29</t>
  </si>
  <si>
    <t>154,8
104,49</t>
  </si>
  <si>
    <t>декабрь 2006 г п/п 8719
 Козп=7,87
Кэм=6</t>
  </si>
  <si>
    <t>3544
3290</t>
  </si>
  <si>
    <t>254
225</t>
  </si>
  <si>
    <t>3271
2091</t>
  </si>
  <si>
    <t>ТЕРр58-03-1</t>
  </si>
  <si>
    <t xml:space="preserve">Разборка оконных отливов из листовой стали
 </t>
  </si>
  <si>
    <t>100 м</t>
  </si>
  <si>
    <t>71,18
70,98</t>
  </si>
  <si>
    <t>декабрь 2006 г п/п 350
 Козп=7,87
Кэм=4,53</t>
  </si>
  <si>
    <t>72
72</t>
  </si>
  <si>
    <t xml:space="preserve"> 78,02%
 65%</t>
  </si>
  <si>
    <t>56
47</t>
  </si>
  <si>
    <t>ТЕР9-06-001-2</t>
  </si>
  <si>
    <t xml:space="preserve">Демонтаж  решеток  на окна
Коэф-ты к позиции:
Ремонт и реконструкция (т.ч. п.1.14) ОЗП=1,15; ЭМ=1,25; ЗПМ=1,25; ТЗ=1,15; ТЗМ=1,25;
Демонтаж ПЗ=0,7; ОЗП=0,7; ЭМ=0,7; ЗПМ=0,7; МАТ=0,7; ТЗ=0,7; ТЗМ=0,7
 </t>
  </si>
  <si>
    <t>1 т конструкций</t>
  </si>
  <si>
    <t>647,71
433,24</t>
  </si>
  <si>
    <t>130,68
1,62</t>
  </si>
  <si>
    <t>декабрь 2006 г п/п 3777
 Козп=7,87
Кэм=4,53
Кмат=3,43</t>
  </si>
  <si>
    <t>3014
2388</t>
  </si>
  <si>
    <t>451
10</t>
  </si>
  <si>
    <t xml:space="preserve"> 84,6%
 72,25%</t>
  </si>
  <si>
    <t>2029
1733</t>
  </si>
  <si>
    <t>ТЕР10-01-027-13</t>
  </si>
  <si>
    <t xml:space="preserve">Установка оконных блоков ПВХ со стеклопакетами
Коэф-ты к позиции:
Ремонт и реконструкция  (п 1.14) ОЗП=1,15; ЭМ=1,25; ЗПМ=1,25; ТЗ=1,15; ТЗМ=1,25
 </t>
  </si>
  <si>
    <t>м2</t>
  </si>
  <si>
    <t>1195,78
17,64</t>
  </si>
  <si>
    <t>7,84
0,71</t>
  </si>
  <si>
    <t>декабрь 2006 г п/п 3900
 Козп=7,87
Кэм=4,93
Кмат=2,85</t>
  </si>
  <si>
    <t>81143
3657</t>
  </si>
  <si>
    <t>1106
160</t>
  </si>
  <si>
    <t>3811
2044</t>
  </si>
  <si>
    <t>ТЕР10-01-033-2</t>
  </si>
  <si>
    <t xml:space="preserve">Установка подоконных досок в каменных стенах высотой проема до 2 м (без стоимости подоконников)
Коэф-ты к позиции:
Ремонт и реконструкция  (п. 1.14) ОЗП=1,15; ЭМ=1,25; ЗПМ=1,25; ТЗ=1,15; ТЗМ=1,25
1 659,96 = 4 212,96 - 34,50 x 74
 </t>
  </si>
  <si>
    <t>100 м2 проемов</t>
  </si>
  <si>
    <t>4212,96
572,14</t>
  </si>
  <si>
    <t>67,64
2,7</t>
  </si>
  <si>
    <t>декабрь 2006 г п/п 3920
 Козп=7,87
Кэм=4,83
Кмат=5,47</t>
  </si>
  <si>
    <t>2557
1186</t>
  </si>
  <si>
    <t>94
6</t>
  </si>
  <si>
    <t>1190
638</t>
  </si>
  <si>
    <t>Счет пост.</t>
  </si>
  <si>
    <t xml:space="preserve">Подоконники ПВХ
 </t>
  </si>
  <si>
    <t>текущ.</t>
  </si>
  <si>
    <t>ТЕР7-05-039-18</t>
  </si>
  <si>
    <t>УТВЕРЖДАЮ
Заместитель Главы 
Администрации г.Реутова
__________Покамин В.М.</t>
  </si>
  <si>
    <t xml:space="preserve">Герметизация примыканий  оконных блоков  к стенам монтажной пеной
Коэф-ты к позиции:
Ремонт и реконструкция  п. 1.14 Общих указаний ОЗП=1,15; ЭМ=1,25; ЗПМ=1,25; ТЗ=1,15; ТЗМ=1,25
 </t>
  </si>
  <si>
    <t>100 м шва</t>
  </si>
  <si>
    <t>2670,88
37,59</t>
  </si>
  <si>
    <t>декабрь 2006 г п/п 3197
 Козп=7,87
Кэм=5,04
Кмат=2,05</t>
  </si>
  <si>
    <t>2719
160</t>
  </si>
  <si>
    <t xml:space="preserve"> 131,13%
 85%</t>
  </si>
  <si>
    <t>210
136</t>
  </si>
  <si>
    <t>ТЕР15-02-003-1</t>
  </si>
  <si>
    <t xml:space="preserve">Штукатурка цементно-известковым раствором по камню откосов при ширине до 200 мм плоских под отливы и подоконники
Коэф-ты к позиции:
Ремонт и реконструкция  (п. 1.14) ОЗП=1,15; ЭМ=1,25; ЗПМ=1,25; ТЗ=1,15; ТЗМ=1,25
 </t>
  </si>
  <si>
    <t>100 м откосов</t>
  </si>
  <si>
    <t>659,56
308,16</t>
  </si>
  <si>
    <t>декабрь 2006 г п/п 4976
 Козп=7,87
Кэм=4,17
Кмат=3,27</t>
  </si>
  <si>
    <t>927
655</t>
  </si>
  <si>
    <t>582
306</t>
  </si>
  <si>
    <t>ТЕР12-01-010-1</t>
  </si>
  <si>
    <t xml:space="preserve">Устройство оконных отливов из листовой оцинкованной стали
Коэф-ты к позиции:
Ремонт и реконструкция  (п. 1.14) ОЗП=1,15; ЭМ=1,25; ЗПМ=1,25; ТЗ=1,15; ТЗМ=1,25
 </t>
  </si>
  <si>
    <t>7500,5
961,76</t>
  </si>
  <si>
    <t>22,56
2,7</t>
  </si>
  <si>
    <t>декабрь 2006 г п/п 4340
 Козп=7,87
Кэм=5,35
Кмат=3,04</t>
  </si>
  <si>
    <t>539
164</t>
  </si>
  <si>
    <t>3
1</t>
  </si>
  <si>
    <t>168
91</t>
  </si>
  <si>
    <t>ТЕР15-02-031-1</t>
  </si>
  <si>
    <t xml:space="preserve">Штукатурка поверхностей оконных  откосов по бетону и камню плоских
Коэф-ты к позиции:
Ремонт и реконструкция (т.ч. п.1.14) ОЗП=1,15; ЭМ=1,25; ЗПМ=1,25; ТЗ=1,15; ТЗМ=1,25
 </t>
  </si>
  <si>
    <t>4185,47
1897,76</t>
  </si>
  <si>
    <t>41,2
27,81</t>
  </si>
  <si>
    <t>декабрь 2006 г п/п 5052
 Козп=7,87
Кэм=6
Кмат=2,78</t>
  </si>
  <si>
    <t>3465
2508</t>
  </si>
  <si>
    <t>45
40</t>
  </si>
  <si>
    <t>2263
1191</t>
  </si>
  <si>
    <t xml:space="preserve">Устройство дополнительного слоя штукатурки откосов из раствора толщиной 40мм (объем =0,146х4=0,584)
 </t>
  </si>
  <si>
    <t>3500
2389</t>
  </si>
  <si>
    <t>24
21</t>
  </si>
  <si>
    <t>1790
1205</t>
  </si>
  <si>
    <t xml:space="preserve">Монтаж  решеток  на окна распашных (без стоимости решеток)
Коэф-ты к позиции:
Ремонт и реконструкция (т.ч. п.1.14) ОЗП=1,15; ЭМ=1,25; ЗПМ=1,25; ТЗ=1,15; ТЗМ=1,25
 </t>
  </si>
  <si>
    <t>4305
3411</t>
  </si>
  <si>
    <t>644
14</t>
  </si>
  <si>
    <t>2898
2475</t>
  </si>
  <si>
    <t>СЦМ-201-0963</t>
  </si>
  <si>
    <t xml:space="preserve">Ограждения из прокатных и гнутых профилей, полосовой и круглой стали
 </t>
  </si>
  <si>
    <t>СЦМ-101-0888</t>
  </si>
  <si>
    <t xml:space="preserve">Скобяные изделия для распашных решеток
 </t>
  </si>
  <si>
    <t>компл</t>
  </si>
  <si>
    <t>ТЕР10-01-039-1</t>
  </si>
  <si>
    <t xml:space="preserve">Установка блоков в наружных и внутренних дверных проемах в каменных стенах площадью проема до 3 м2 (без стоимости дверей)
Коэф-ты к позиции:
Ремонт и реконструкция  п. 1.14 Общих указаний ОЗП=1,15; ЭМ-ЗПМ=1,25; ЗПМ=1,25; ТЗМ=1,25
8 928,01 = 29 628,01 - 207,00 x 100
 </t>
  </si>
  <si>
    <t>29628,01
958,33</t>
  </si>
  <si>
    <t>1226,89
153,23</t>
  </si>
  <si>
    <t>декабрь 2006 г п/п 3922
 Козп=7,87
Кэм=5,17
Кмат=3,96</t>
  </si>
  <si>
    <t>6032
1208</t>
  </si>
  <si>
    <t>1104
210</t>
  </si>
  <si>
    <t>1416
759</t>
  </si>
  <si>
    <t xml:space="preserve">Дверные блоки финские
 </t>
  </si>
  <si>
    <t>шт</t>
  </si>
  <si>
    <t>СЦМ-101-0950</t>
  </si>
  <si>
    <t xml:space="preserve">Замок врезной оцинкованный с цилиндровым механизмом
 </t>
  </si>
  <si>
    <t>ТЕР9-06-001-1</t>
  </si>
  <si>
    <t xml:space="preserve">Монтаж конструкций металлических дверей
Коэф-ты к позиции:
Ремонт и реконструкция  (п 1.14) ОЗП=1,15; ЭМ=1,25; ЗПМ=1,25; ТЗ=1,15; ТЗМ=1,25
 </t>
  </si>
  <si>
    <t>923,85
763,35</t>
  </si>
  <si>
    <t>123,01
6,62</t>
  </si>
  <si>
    <t>декабрь 2006 г п/п 3776
 Козп=7,87
Кэм=4,68
Кмат=3,32</t>
  </si>
  <si>
    <t>930
829</t>
  </si>
  <si>
    <t>86
8</t>
  </si>
  <si>
    <t>708
605</t>
  </si>
  <si>
    <t xml:space="preserve">Дверные блоки металлические
 </t>
  </si>
  <si>
    <t xml:space="preserve">Герметизация примыканий  дверных блоков  к стенам монтажной пеной
Коэф-ты к позиции:
Ремонт и реконструкция  п. 1.14 Общих указаний ОЗП=1,15; ЭМ=1,25; ЗПМ=1,25; ТЗ=1,15; ТЗМ=1,25
 </t>
  </si>
  <si>
    <t>2829
167</t>
  </si>
  <si>
    <t>219
142</t>
  </si>
  <si>
    <t>ТЕР10-01-060-1</t>
  </si>
  <si>
    <t xml:space="preserve">Установка и крепление наличников
Коэф-ты к позиции:
Ремонт и реконструкция  п. 1.14 Общих указаний ОЗП=1,15; ЭМ-ЗПМ=1,25; ЗПМ=1,25; ТЗМ=1,25
 </t>
  </si>
  <si>
    <t>100 м коробок блоков</t>
  </si>
  <si>
    <t>515,49
63,81</t>
  </si>
  <si>
    <t>декабрь 2006 г п/п 3973
 Козп=7,87
Кэм=5,04
Кмат=2,4</t>
  </si>
  <si>
    <t>1205
416</t>
  </si>
  <si>
    <t>415
223</t>
  </si>
  <si>
    <t>ТЕР15-01-049-4</t>
  </si>
  <si>
    <t xml:space="preserve">Устройство дверных доборов из древесно-стружечных плит фанерованных шпоном
Коэф-ты к позиции:
Ремонт и реконструкция  п 1.14 ОЗП=1,15; ЭМ=1,25; ЗПМ=1,25; ТЗ=1,15; ТЗМ=1,25
 </t>
  </si>
  <si>
    <t>47622,43
481,71</t>
  </si>
  <si>
    <t>101,14
2,97</t>
  </si>
  <si>
    <t>декабрь 2006 г п/п 4952
 Козп=7,87
Кэм=5,04
Кмат=2,29</t>
  </si>
  <si>
    <t>3269
126</t>
  </si>
  <si>
    <t>18
1</t>
  </si>
  <si>
    <t>113
59</t>
  </si>
  <si>
    <t>ТЕРр56-12-12</t>
  </si>
  <si>
    <t xml:space="preserve">Установка дверных упоров
 </t>
  </si>
  <si>
    <t>100 шт. приборов</t>
  </si>
  <si>
    <t>1018,93
139,21</t>
  </si>
  <si>
    <t>декабрь 2006 г п/п 237
 Козп=7,87
Кмат=2,23</t>
  </si>
  <si>
    <t>214
77</t>
  </si>
  <si>
    <t>59
48</t>
  </si>
  <si>
    <t>ТЕР9-03-050-1</t>
  </si>
  <si>
    <t xml:space="preserve">Установка латунных порожков (без стоимости порожков)
Коэф-ты к позиции:
Ремонт и реконструкция  (п. 1.14) ОЗП=1,15; ЭМ=1,25; ЗПМ=1,25; ТЗ=1,15; ТЗМ=1,25
341,54 = 2 001,54 - 8 300,00 x 0,2
 </t>
  </si>
  <si>
    <t>2001,54
119,04</t>
  </si>
  <si>
    <t>декабрь 2006 г п/п 3732
 Козп=7,87
Кэм=4,44
Кмат=3,59</t>
  </si>
  <si>
    <t>156
75</t>
  </si>
  <si>
    <t>78
51</t>
  </si>
  <si>
    <t xml:space="preserve">Порожки латунные
 </t>
  </si>
  <si>
    <t>м</t>
  </si>
  <si>
    <t>ТЕР15-04-025-8</t>
  </si>
  <si>
    <t xml:space="preserve">Улучшенная окраска масляными составами откосов
Коэф-ты к позиции:
Ремонт и реконструкция ОЗП=1,15; ЭМ=1,25; ЗПМ=1,25; ТЗ=1,15; ТЗМ=1,25
 </t>
  </si>
  <si>
    <t>1398,45
463,17</t>
  </si>
  <si>
    <t>8,49
0,14</t>
  </si>
  <si>
    <t>декабрь 2006 г п/п 5211
 Козп=7,87
Кэм=5,06
Кмат=1,97</t>
  </si>
  <si>
    <t>886
612</t>
  </si>
  <si>
    <t>544
286</t>
  </si>
  <si>
    <t xml:space="preserve">Установка перфорированных алюминиевых уголков на откосах
Коэф-ты к позиции:
Ремонт и реконструкция  п. 1.14 Общих указаний ОЗП=1,15; ЭМ=1,25; ЗПМ=1,25; ТЗМ=1,25
 </t>
  </si>
  <si>
    <t>5735
754</t>
  </si>
  <si>
    <t>638
545</t>
  </si>
  <si>
    <t>ТЕРр62-41-01</t>
  </si>
  <si>
    <t xml:space="preserve">Очистка вручную поверхности труб и радиаторов от старой краски
 </t>
  </si>
  <si>
    <t>100 м2 расчищенной поверхности</t>
  </si>
  <si>
    <t>162,24
162,24</t>
  </si>
  <si>
    <t>декабрь 2006 г п/п 1008
 Козп=7,87</t>
  </si>
  <si>
    <t>131
131</t>
  </si>
  <si>
    <t xml:space="preserve"> 75,2%
 50%</t>
  </si>
  <si>
    <t>99
66</t>
  </si>
  <si>
    <t>ТЕРр62-35-02</t>
  </si>
  <si>
    <t xml:space="preserve">Окраска масляными составами ранее окрашенных металлических труб и радиаторов за 2 раза
 </t>
  </si>
  <si>
    <t>1030,71
697,51</t>
  </si>
  <si>
    <t>декабрь 2006 г п/п 988
 Козп=7,87
Кэм=5,04
Кмат=2,06</t>
  </si>
  <si>
    <t>1816
1614</t>
  </si>
  <si>
    <t>1214
807</t>
  </si>
  <si>
    <t>ТЕР13-03-002-04</t>
  </si>
  <si>
    <t xml:space="preserve">Огрунтовка металлических поверхностей за один раз: грунтовкой ГФ-021
Коэф-ты к позиции:
Ремонт и реконструкция п. 1.14 Общих указаний ОЗП=1,15; ЭМ=1,25; ЗПМ=1,25; ТЗ=1,15; ТЗМ=1,25
 </t>
  </si>
  <si>
    <t>268,58
56,55</t>
  </si>
  <si>
    <t>9,31
0,1</t>
  </si>
  <si>
    <t>декабрь 2006 г п/п 4447
 Козп=7,87
Кэм=4,3
Кмат=2,56</t>
  </si>
  <si>
    <t>248
117</t>
  </si>
  <si>
    <t>89
70</t>
  </si>
  <si>
    <t>ТЕР15-04-030-4</t>
  </si>
  <si>
    <t xml:space="preserve">Масляная окраска металлических поверхностей решеток,  количество окрасок 2
Коэф-ты к позиции:
Ремонт и реконструкция  (п 1.14) ОЗП=1,15; ЭМ=1,25; ЗПМ=1,25; ТЗ=1,15; ТЗМ=1,25
 </t>
  </si>
  <si>
    <t>1107,01
629,59</t>
  </si>
  <si>
    <t>2,46
0,14</t>
  </si>
  <si>
    <t>декабрь 2006 г п/п 5240
 Козп=7,87
Кэм=5,12
Кмат=2,07</t>
  </si>
  <si>
    <t>1534
1305</t>
  </si>
  <si>
    <t>1159
610</t>
  </si>
  <si>
    <t xml:space="preserve">                           Раздел 5. Прочие работы</t>
  </si>
  <si>
    <t>ТЕР09-06-001-03</t>
  </si>
  <si>
    <t xml:space="preserve">Монтаж м/конструкций стеллажей
Коэф-ты к позиции:
Ремонт и реконструкция (т.ч. п.1.14) ОЗП=1,15; ЭМ=1,25; ЗПМ=1,25; ТЗ=1,15; ТЗМ=1,25
 </t>
  </si>
  <si>
    <t>1042,06
883,28</t>
  </si>
  <si>
    <t>88,36
2,16</t>
  </si>
  <si>
    <t>декабрь 2006 г п/п 3778
 Козп=7,87
Кэм=4,73
Кмат=3,04</t>
  </si>
  <si>
    <t>8556
7834</t>
  </si>
  <si>
    <t>512
21</t>
  </si>
  <si>
    <t>6645
5675</t>
  </si>
  <si>
    <t>СЦМ-201-0763</t>
  </si>
  <si>
    <t xml:space="preserve">Стоимость м/конструкций
 </t>
  </si>
  <si>
    <t>ТЕР10-01-057-2</t>
  </si>
  <si>
    <t xml:space="preserve">Установка  полок стеллажей из фанеры т. 20мм (без стоимости полок)
Коэф-ты к позиции:
Ремонт и реконструкция  (п 1.14) ОЗП=1,15; ЭМ=1,25; ЗПМ=1,25; ТЗ=1,15; ТЗМ=1,25
1 572,58 = 22 572,58 - 210,00 x 100
 </t>
  </si>
  <si>
    <t>100 м2 деталей</t>
  </si>
  <si>
    <t>22572,58
1143,38</t>
  </si>
  <si>
    <t>311,73
22,14</t>
  </si>
  <si>
    <t>декабрь 2006 г п/п 3969
 Козп=7,87
Кэм=5,22
Кмат=2,2</t>
  </si>
  <si>
    <t>5688
4657</t>
  </si>
  <si>
    <t>915
98</t>
  </si>
  <si>
    <t>4747
2546</t>
  </si>
  <si>
    <t>436
206</t>
  </si>
  <si>
    <t>157
123</t>
  </si>
  <si>
    <t xml:space="preserve">Масляная окраска металлических поверхностей стеллажей,  количество окрасок 2
Коэф-ты к позиции:
Ремонт и реконструкция  (п 1.14) ОЗП=1,15; ЭМ=1,25; ЗПМ=1,25; ТЗ=1,15; ТЗМ=1,25
 </t>
  </si>
  <si>
    <t>2699
2296</t>
  </si>
  <si>
    <t>6
1</t>
  </si>
  <si>
    <t>2040
1074</t>
  </si>
  <si>
    <t>ТЕР15-04-024-03</t>
  </si>
  <si>
    <t xml:space="preserve">Простая окраска масляными составами по дереву полок стеллажей
Коэф-ты к позиции:
Ремонт и реконструкция п. 1.14 Общих указаний ОЗП=1,15; ЭМ=1,25; ЗПМ=1,25; ТЗ=1,15; ТЗМ=1,25
 </t>
  </si>
  <si>
    <t>770,88
209,83</t>
  </si>
  <si>
    <t>3,22
0,14</t>
  </si>
  <si>
    <t>декабрь 2006 г п/п 5197
 Козп=7,87
Кэм=5,1
Кмат=2,06</t>
  </si>
  <si>
    <t>2762
1709</t>
  </si>
  <si>
    <t>1519
799</t>
  </si>
  <si>
    <t>Тех. часть 12/06 таблица 1</t>
  </si>
  <si>
    <t xml:space="preserve">Погрузка и разгрузка строительного мусоры
 </t>
  </si>
  <si>
    <t>тн</t>
  </si>
  <si>
    <t>7,17
7,17</t>
  </si>
  <si>
    <t>тех. ч.
 Козп=7,87</t>
  </si>
  <si>
    <t>1411
1411</t>
  </si>
  <si>
    <t xml:space="preserve"> 73,32%
 50%</t>
  </si>
  <si>
    <t>1035
706</t>
  </si>
  <si>
    <t>Тех. часть 12/06 таблица 2</t>
  </si>
  <si>
    <t xml:space="preserve">Вывоз мусора на 60 км
 </t>
  </si>
  <si>
    <t>тех. ч.
Кэм=4,18</t>
  </si>
  <si>
    <t>ТЕР20-02-003-07</t>
  </si>
  <si>
    <t xml:space="preserve">Установка вентрешеток
Коэф-ты к позиции:
Ремонт и реконструкция п. 1.14 Общих указаний ОЗП=1,15; ЭМ=1,25; ЗПМ=1,25; ТЗ=1,15; ТЗМ=1,25
 </t>
  </si>
  <si>
    <t>1 решетка</t>
  </si>
  <si>
    <t>57,95
10,49</t>
  </si>
  <si>
    <t>декабрь 2006 г п/п 5945
 Козп=7,87
Кэм=4,53
Кмат=3,8</t>
  </si>
  <si>
    <t>576
190</t>
  </si>
  <si>
    <t xml:space="preserve"> 108,29%
 70,55%</t>
  </si>
  <si>
    <t>206
134</t>
  </si>
  <si>
    <t>ТЕР20-02-003-08</t>
  </si>
  <si>
    <t xml:space="preserve">Установка сантехнических лючков
Коэф-ты к позиции:
Ремонт и реконструкция п. 1.14 Общих указаний ОЗП=1,15; ЭМ=1,25; ЗПМ=1,25; ТЗ=1,15; ТЗМ=1,25
 </t>
  </si>
  <si>
    <t>81,36
10,49</t>
  </si>
  <si>
    <t>декабрь 2006 г п/п 5946
 Козп=7,87
Кэм=4,53
Кмат=3,31</t>
  </si>
  <si>
    <t>691
190</t>
  </si>
  <si>
    <t>ТЕР15-01-049-03</t>
  </si>
  <si>
    <t xml:space="preserve">Устройство шкафа под мойку
Коэф-ты к позиции:
Ремонт и реконструкция п. 1.14 Общих указаний ОЗП=1,15; ЭМ=1,25; ЗПМ=1,25; ТЗ=1,15; ТЗМ=1,25
 </t>
  </si>
  <si>
    <t>100 м2 облицовки стен</t>
  </si>
  <si>
    <t>23712,84
2932,16</t>
  </si>
  <si>
    <t>115,56
4,05</t>
  </si>
  <si>
    <t>декабрь 2006 г п/п 4951
 Козп=7,87
Кэм=5,06
Кмат=2,59</t>
  </si>
  <si>
    <t>2585
849</t>
  </si>
  <si>
    <t>23
1</t>
  </si>
  <si>
    <t>755
397</t>
  </si>
  <si>
    <t xml:space="preserve">                           Раздел 6. Сантехнические работы</t>
  </si>
  <si>
    <t>ТЕРр65-04-2</t>
  </si>
  <si>
    <t xml:space="preserve">Демонтаж унитазов
 </t>
  </si>
  <si>
    <t>100 приборов</t>
  </si>
  <si>
    <t>550,36
544,56</t>
  </si>
  <si>
    <t>5,8
3,92</t>
  </si>
  <si>
    <t>декабрь 2006 г п/п 1317
 Козп=7,87
Кэм=6</t>
  </si>
  <si>
    <t>43
43</t>
  </si>
  <si>
    <t>30
22</t>
  </si>
  <si>
    <t>ТЕРр65-04-10</t>
  </si>
  <si>
    <t xml:space="preserve">Демонтаж  смывных бачков фаянсовых на унитазе
 </t>
  </si>
  <si>
    <t>323,2
318</t>
  </si>
  <si>
    <t>5,2
3,51</t>
  </si>
  <si>
    <t>декабрь 2006 г п/п 1321
 Козп=7,87
Кэм=6</t>
  </si>
  <si>
    <t>25
25</t>
  </si>
  <si>
    <t>17
13</t>
  </si>
  <si>
    <t>ТЕРр65-04-1</t>
  </si>
  <si>
    <t xml:space="preserve">Демонтаж  умывальников
 </t>
  </si>
  <si>
    <t>442,79
437,59</t>
  </si>
  <si>
    <t>декабрь 2006 г п/п 1316
 Козп=7,87
Кэм=6</t>
  </si>
  <si>
    <t>70
69</t>
  </si>
  <si>
    <t>1
1</t>
  </si>
  <si>
    <t>49
35</t>
  </si>
  <si>
    <t>ТЕРр65-03-7</t>
  </si>
  <si>
    <t xml:space="preserve">Снятие смесителя
 </t>
  </si>
  <si>
    <t>100 шт. арматуры</t>
  </si>
  <si>
    <t>314,54
313,14</t>
  </si>
  <si>
    <t>1,4
0,95</t>
  </si>
  <si>
    <t>декабрь 2006 г п/п 1306
 Козп=7,87
Кэм=6</t>
  </si>
  <si>
    <t>49
49</t>
  </si>
  <si>
    <t>34
25</t>
  </si>
  <si>
    <t>ТЕРр65-03-1</t>
  </si>
  <si>
    <t xml:space="preserve">Снятие кранов водоразборных или туалетных
 </t>
  </si>
  <si>
    <t>48,82
48,62</t>
  </si>
  <si>
    <t>0,2
0,14</t>
  </si>
  <si>
    <t>декабрь 2006 г п/п 1301
 Козп=7,87
Кэм=6</t>
  </si>
  <si>
    <t>19
19</t>
  </si>
  <si>
    <t>13
10</t>
  </si>
  <si>
    <t>ТЕРр65-01-1</t>
  </si>
  <si>
    <t xml:space="preserve">Разборка трубопроводов из водогазопроводных труб диаметром 15 мм
 </t>
  </si>
  <si>
    <t>100 м трубопроводов</t>
  </si>
  <si>
    <t>327,58
288,02</t>
  </si>
  <si>
    <t>5,96
1,35</t>
  </si>
  <si>
    <t>декабрь 2006 г п/п 1298
 Козп=7,87
Кэм=5,89
Кмат=3,21</t>
  </si>
  <si>
    <t>304
286</t>
  </si>
  <si>
    <t>4
1</t>
  </si>
  <si>
    <t xml:space="preserve"> 96,82%
 60%</t>
  </si>
  <si>
    <t>200
144</t>
  </si>
  <si>
    <t>ТЕРр65-02-1</t>
  </si>
  <si>
    <t xml:space="preserve">Разборка трубопроводов из чугунных канализационных труб диаметром 50 мм
 </t>
  </si>
  <si>
    <t>100 м трубопровода с фасонными частями</t>
  </si>
  <si>
    <t>584,56
581,36</t>
  </si>
  <si>
    <t>3,2
2,16</t>
  </si>
  <si>
    <t>декабрь 2006 г п/п 1300
 Козп=7,87
Кэм=6</t>
  </si>
  <si>
    <t>193
192</t>
  </si>
  <si>
    <t>134
97</t>
  </si>
  <si>
    <t>ТЕР46-03-011-03</t>
  </si>
  <si>
    <t xml:space="preserve">Пробивка в кирпичных стенах борозд площадью сечения: до 100 см2
 </t>
  </si>
  <si>
    <t>100 м борозд</t>
  </si>
  <si>
    <t>1916,26
434,23</t>
  </si>
  <si>
    <t>1482,03
120,82</t>
  </si>
  <si>
    <t>декабрь 2006 г п/п 8651
 Козп=7,87
Кэм=4,66</t>
  </si>
  <si>
    <t>434
144</t>
  </si>
  <si>
    <t>290
40</t>
  </si>
  <si>
    <t>171
109</t>
  </si>
  <si>
    <t>ТЕР16-03-002-1</t>
  </si>
  <si>
    <t xml:space="preserve">Прокладка трубопроводов водоснабжения из многослойных металл-полимерных труб диаметром 15 мм
Коэф-ты к позиции:
Ремонт и реконструкция  (п. 1.14) ОЗП=1,15; ЭМ=1,25; ЗПМ=1,25; ТЗ=1,15; ТЗМ=1,25
 </t>
  </si>
  <si>
    <t>100 м трубопровода</t>
  </si>
  <si>
    <t>11515,38
1094,24</t>
  </si>
  <si>
    <t>116,9
0,95</t>
  </si>
  <si>
    <t>декабрь 2006 г п/п 5472
 Козп=7,87
Кэм=4,6
Кмат=1,56</t>
  </si>
  <si>
    <t>2798
1040</t>
  </si>
  <si>
    <t>71
1</t>
  </si>
  <si>
    <t>1127
734</t>
  </si>
  <si>
    <t>ТЕР16-07-003-1</t>
  </si>
  <si>
    <t xml:space="preserve">Врезки в действующие внутренние сети трубопроводов отопления и водоснабжения диаметром 15 мм
Коэф-ты к позиции:
Ремонт и реконструкция  (п. 1.14) ОЗП=1,15; ЭМ=1,25; ЗПМ=1,25; ТЗ=1,15; ТЗМ=1,25
 </t>
  </si>
  <si>
    <t>1 врезка</t>
  </si>
  <si>
    <t>73,62
44,24</t>
  </si>
  <si>
    <t>декабрь 2006 г п/п 5556
 Козп=7,87
Кэм=4,88
Кмат=3,04</t>
  </si>
  <si>
    <t>505
400</t>
  </si>
  <si>
    <t>433
282</t>
  </si>
  <si>
    <t>ТЕР16-04-001-1</t>
  </si>
  <si>
    <t xml:space="preserve">Прокладка трубопроводов канализации из полиэтиленовых труб высокой плотности диаметром 50 мм
Коэф-ты к позиции:
Ремонт и реконструкция  (п. 1.14) ОЗП=1,15; ЭМ=1,25; ЗПМ=1,25; ТЗ=1,15; ТЗМ=1,25
 </t>
  </si>
  <si>
    <t>5055,83
637,26</t>
  </si>
  <si>
    <t>10,27
0,28</t>
  </si>
  <si>
    <t>декабрь 2006 г п/п 5478
 Козп=7,87
Кэм=4,99
Кмат=2,47</t>
  </si>
  <si>
    <t>568
196</t>
  </si>
  <si>
    <t>212
138</t>
  </si>
  <si>
    <t>ТЕР16-07-004-01</t>
  </si>
  <si>
    <t xml:space="preserve">Врезки в действующие внутренние сети трубопроводов канализации диаметром: 50 мм
Коэф-ты к позиции:
Ремонт и реконструкция  п 1.14 ОЗП=1,15; ЭМ=1,25; ЗПМ=1,25; ТЗ=1,15; ТЗМ=1,25
 </t>
  </si>
  <si>
    <t>130,99
60,14</t>
  </si>
  <si>
    <t>декабрь 2006 г п/п 5567
 Козп=7,87
Кэм=5,04
Кмат=2,1</t>
  </si>
  <si>
    <t>696
544</t>
  </si>
  <si>
    <t>589
384</t>
  </si>
  <si>
    <t>ТЕРр65-06-25</t>
  </si>
  <si>
    <t xml:space="preserve">Установка шаровых кранов
 </t>
  </si>
  <si>
    <t>4260,67
818,67</t>
  </si>
  <si>
    <t>4,77
0,68</t>
  </si>
  <si>
    <t>декабрь 2006 г п/п 1356
 Козп=7,87
Кэм=5,24
Кмат=2,3</t>
  </si>
  <si>
    <t>719
322</t>
  </si>
  <si>
    <t>312
193</t>
  </si>
  <si>
    <t>ТЕР17-01-003-1</t>
  </si>
  <si>
    <t xml:space="preserve">Установка унитазов с бачком непосредственно присоединенным
Коэф-ты к позиции:
Ремонт и реконструкция  п. 1.14 Общих указаний ОЗП=1,15; ЭМ=1,25; ЗПМ=1,25; ТЗМ=1,25
 </t>
  </si>
  <si>
    <t>10 комплектов</t>
  </si>
  <si>
    <t>3697,75
234,57</t>
  </si>
  <si>
    <t>39,65
4,32</t>
  </si>
  <si>
    <t>декабрь 2006 г п/п 5605
 Козп=7,87
Кэм=5,14
Кмат=3,49</t>
  </si>
  <si>
    <t>1433
212</t>
  </si>
  <si>
    <t>25
4</t>
  </si>
  <si>
    <t>234
152</t>
  </si>
  <si>
    <t xml:space="preserve">Стоимость выпусков гофрированных д. 100 мм
 </t>
  </si>
  <si>
    <t>ТЕР17-01-001-14</t>
  </si>
  <si>
    <t xml:space="preserve">Установка умывальников одиночных0 с подводкой холодной и горячей воды
Коэф-ты к позиции:
Ремонт и реконструкция  п. 1.14 Общих указаний ОЗП=1,15; ЭМ=1,25; ЗПМ=1,25; ТЗМ=1,25
 </t>
  </si>
  <si>
    <t>1608,88
208,49</t>
  </si>
  <si>
    <t>23,03
1,76</t>
  </si>
  <si>
    <t>декабрь 2006 г п/п 5590
 Козп=7,87
Кэм=5,05
Кмат=4,25</t>
  </si>
  <si>
    <t>789
189</t>
  </si>
  <si>
    <t>15
2</t>
  </si>
  <si>
    <t>207
135</t>
  </si>
  <si>
    <t>ТЕР17-01-005-01</t>
  </si>
  <si>
    <t xml:space="preserve">Установка моек: на одно отделение
Коэф-ты к позиции:
Ремонт и реконструкция п. 1.14 Общих указаний ОЗП=1,15; ЭМ=1,25; ЗПМ=1,25; ТЗ=1,15; ТЗМ=1,25
 </t>
  </si>
  <si>
    <t>3077,33
166,79</t>
  </si>
  <si>
    <t>17
1,76</t>
  </si>
  <si>
    <t>декабрь 2006 г п/п 5613
 Козп=7,87
Кэм=5,05
Кмат=2,23</t>
  </si>
  <si>
    <t>807
151</t>
  </si>
  <si>
    <t>11
2</t>
  </si>
  <si>
    <t>166
108</t>
  </si>
  <si>
    <t xml:space="preserve">Стоимость выпусков гофрированных д. 50 мм
 </t>
  </si>
  <si>
    <t>ТЕР17-01-002-3</t>
  </si>
  <si>
    <t xml:space="preserve">Установка смесителей
Коэф-ты к позиции:
Ремонт и реконструкция  (п. 1.14) ОЗП=1,15; ЭМ=1,25; ЗПМ=1,25; ТЗ=1,15; ТЗМ=1,25
 </t>
  </si>
  <si>
    <t>10 шт</t>
  </si>
  <si>
    <t>1514,75
67,41</t>
  </si>
  <si>
    <t>декабрь 2006 г п/п 5602
 Козп=7,87
Кэм=4,43
Кмат=2,92</t>
  </si>
  <si>
    <t>968
122</t>
  </si>
  <si>
    <t>132
86</t>
  </si>
  <si>
    <t>ТЕРр65-06-3</t>
  </si>
  <si>
    <t xml:space="preserve">Смена сифонов
 </t>
  </si>
  <si>
    <t>3652,62
692,8</t>
  </si>
  <si>
    <t>13,16
1,76</t>
  </si>
  <si>
    <t>декабрь 2006 г п/п 1335
 Козп=7,87
Кэм=5,23
Кмат=2,41</t>
  </si>
  <si>
    <t>252
109</t>
  </si>
  <si>
    <t>106
65</t>
  </si>
  <si>
    <t>ТЕРр65-06-10</t>
  </si>
  <si>
    <t xml:space="preserve">Смена  гибких подводок
 </t>
  </si>
  <si>
    <t>2525,56
475,79</t>
  </si>
  <si>
    <t>декабрь 2006 г п/п 1342
 Козп=7,87
Кэм=5,24
Кмат=2,2</t>
  </si>
  <si>
    <t>413
187</t>
  </si>
  <si>
    <t>181
112</t>
  </si>
  <si>
    <t>ТЕР46-03-017-03</t>
  </si>
  <si>
    <t xml:space="preserve">Заделка гнезд и борозд: в стенах
 </t>
  </si>
  <si>
    <t>1 м3 заделки</t>
  </si>
  <si>
    <t>2331,24
611,44</t>
  </si>
  <si>
    <t>декабрь 2006 г п/п 8663
 Козп=7,87
Кэм=5,03
Кмат=3,43</t>
  </si>
  <si>
    <t>431
192</t>
  </si>
  <si>
    <t>179
114</t>
  </si>
  <si>
    <t xml:space="preserve">                           Раздел 7. Электромонтажные работы</t>
  </si>
  <si>
    <t>ТЕРр67-04-04</t>
  </si>
  <si>
    <t xml:space="preserve">Демонтаж осветительных приборов: люстр
 </t>
  </si>
  <si>
    <t>100 шт.</t>
  </si>
  <si>
    <t>84,92
84,32</t>
  </si>
  <si>
    <t>0,6
0,41</t>
  </si>
  <si>
    <t>декабрь 2006 г п/п 1799
 Козп=7,87
Кэм=6</t>
  </si>
  <si>
    <t>73
73</t>
  </si>
  <si>
    <t xml:space="preserve"> 79,9%
 65%</t>
  </si>
  <si>
    <t>58
47</t>
  </si>
  <si>
    <t>ТЕРр67-04-3</t>
  </si>
  <si>
    <t xml:space="preserve">Демонтаж  светильников с лампами накаливания полугерметичных
 </t>
  </si>
  <si>
    <t>49,9
49,3</t>
  </si>
  <si>
    <t>8
8</t>
  </si>
  <si>
    <t>6
5</t>
  </si>
  <si>
    <t>ТЕРр67-04-1</t>
  </si>
  <si>
    <t xml:space="preserve">Демонтаж   розеток и выключателей
 </t>
  </si>
  <si>
    <t>45,55
45,55</t>
  </si>
  <si>
    <t>декабрь 2006 г п/п 1798
 Козп=7,87</t>
  </si>
  <si>
    <t>104
104</t>
  </si>
  <si>
    <t>83
68</t>
  </si>
  <si>
    <t>ТЕРр67-03-01</t>
  </si>
  <si>
    <t xml:space="preserve">Демонтаж кабеля 3х2,5
 </t>
  </si>
  <si>
    <t>75,39
75,19</t>
  </si>
  <si>
    <t>декабрь 2006 г п/п 1797
 Козп=7,87
Кэм=6</t>
  </si>
  <si>
    <t>1067
1065</t>
  </si>
  <si>
    <t>2
2</t>
  </si>
  <si>
    <t>853
694</t>
  </si>
  <si>
    <t>ТЕРр67-01-2</t>
  </si>
  <si>
    <t xml:space="preserve">Демонтаж электропроводки слаботочной
 </t>
  </si>
  <si>
    <t>21,61
21,61</t>
  </si>
  <si>
    <t>декабрь 2006 г п/п 1787
 Козп=7,87</t>
  </si>
  <si>
    <t>255
255</t>
  </si>
  <si>
    <t>204
166</t>
  </si>
  <si>
    <t>ТЕРр67-04-2 прим.</t>
  </si>
  <si>
    <t xml:space="preserve">Демонтаж приборов сигнализации
 </t>
  </si>
  <si>
    <t>29,17
29,17</t>
  </si>
  <si>
    <t>41
41</t>
  </si>
  <si>
    <t>33
27</t>
  </si>
  <si>
    <t>ФЕРм08-03-599-03</t>
  </si>
  <si>
    <t xml:space="preserve">Демонтаж щитка осветительного
Коэф-ты к позиции:
Демонтаж ОЗП=0,5; ЭМ=0,5; ЗПМ=0,5; ТЗ=0,5; ТЗМ=0,5
 </t>
  </si>
  <si>
    <t>шт.</t>
  </si>
  <si>
    <t>61,59
47,91</t>
  </si>
  <si>
    <t>13,68
0,54</t>
  </si>
  <si>
    <t>декабрь 2006 г п/п 3404
 Козп=7,87
Кэм=4,11
Кмат=2,48</t>
  </si>
  <si>
    <t>217
189</t>
  </si>
  <si>
    <t>28
2</t>
  </si>
  <si>
    <t xml:space="preserve"> 89,3%
 65%</t>
  </si>
  <si>
    <t>171
124</t>
  </si>
  <si>
    <t>ТЕРр67-04-06</t>
  </si>
  <si>
    <t xml:space="preserve">Демонтаж осветительных приборов: электросчетчиков
 </t>
  </si>
  <si>
    <t>220,79
219,39</t>
  </si>
  <si>
    <t>17
17</t>
  </si>
  <si>
    <t>14
11</t>
  </si>
  <si>
    <t>ФЕРм08-02-396-1</t>
  </si>
  <si>
    <t xml:space="preserve">Установка электрокоробов ПВХ
 </t>
  </si>
  <si>
    <t>2304,19
353,82</t>
  </si>
  <si>
    <t>817,61
160,51</t>
  </si>
  <si>
    <t>декабрь 2006 г п/п 2515
 Козп=7,87
Кэм=4,04
Кмат=2,57</t>
  </si>
  <si>
    <t>10799
3341</t>
  </si>
  <si>
    <t>3964
1516</t>
  </si>
  <si>
    <t>4337
3157</t>
  </si>
  <si>
    <t xml:space="preserve">Стоимость электрокоробов ПВХ
 </t>
  </si>
  <si>
    <t>ФЕРм08-02-399-2</t>
  </si>
  <si>
    <t xml:space="preserve">Прокладка кабеля в электрокоробах
 </t>
  </si>
  <si>
    <t>177,57
44,23</t>
  </si>
  <si>
    <t>75,42
25,93</t>
  </si>
  <si>
    <t>декабрь 2006 г п/п 2538
 Козп=7,87
Кэм=4,01
Кмат=2,32</t>
  </si>
  <si>
    <t>2826
1253</t>
  </si>
  <si>
    <t>1089
735</t>
  </si>
  <si>
    <t>1775
1292</t>
  </si>
  <si>
    <t>ФСЦМ-507-0266</t>
  </si>
  <si>
    <t xml:space="preserve">Провод с медной жилой повышенной гибкости, с поливинилхлоридной изоляцией марки ПВ3 с жилой сечением, мм2: 2,5
 </t>
  </si>
  <si>
    <t>1000м</t>
  </si>
  <si>
    <t>ФСЦМ-507-0264</t>
  </si>
  <si>
    <t xml:space="preserve">Провод с медной жилой повышенной гибкости, с поливинилхлоридной изоляцией марки ПВ3 с жилой сечением, мм2: 1,5
 </t>
  </si>
  <si>
    <t>ФЕРм08-03-591-11</t>
  </si>
  <si>
    <t xml:space="preserve">Установка розеток штепсельных трехполюсных
 </t>
  </si>
  <si>
    <t>1872,87
728,13</t>
  </si>
  <si>
    <t>27,62
1,62</t>
  </si>
  <si>
    <t>декабрь 2006 г п/п 3341
 Козп=7,87
Кэм=4
Кмат=2,63</t>
  </si>
  <si>
    <t>2107
1375</t>
  </si>
  <si>
    <t>27
3</t>
  </si>
  <si>
    <t>1231
896</t>
  </si>
  <si>
    <t xml:space="preserve">Стоимость розеток
 </t>
  </si>
  <si>
    <t>ФЕРм08-03-591-01</t>
  </si>
  <si>
    <t xml:space="preserve">Выключатель: одноклавишный неутопленного типа при открытой проводке
 </t>
  </si>
  <si>
    <t>1524,4
391,84</t>
  </si>
  <si>
    <t>129,79
0,41</t>
  </si>
  <si>
    <t>декабрь 2006 г п/п 3331
 Козп=7,87
Кэм=4,4
Кмат=2,35</t>
  </si>
  <si>
    <t>481
247</t>
  </si>
  <si>
    <t>221
161</t>
  </si>
  <si>
    <t xml:space="preserve">Стоимость выключателей
 </t>
  </si>
  <si>
    <t>ФЕРм08-03-591-08</t>
  </si>
  <si>
    <t xml:space="preserve">Установка розеток телефонных
 </t>
  </si>
  <si>
    <t>1563,4
428,54</t>
  </si>
  <si>
    <t>132,09
0,54</t>
  </si>
  <si>
    <t>декабрь 2006 г п/п 3338
 Козп=7,87
Кэм=4,4
Кмат=2,35</t>
  </si>
  <si>
    <t>252
135</t>
  </si>
  <si>
    <t>121
88</t>
  </si>
  <si>
    <t xml:space="preserve">Прокладка телефонного кабеля в электрокоробах
 </t>
  </si>
  <si>
    <t>628
278</t>
  </si>
  <si>
    <t>242
163</t>
  </si>
  <si>
    <t>394
287</t>
  </si>
  <si>
    <t xml:space="preserve">Стоимость телефонного кабеля 4-х жильного
 </t>
  </si>
  <si>
    <t>942
418</t>
  </si>
  <si>
    <t>363
245</t>
  </si>
  <si>
    <t>592
431</t>
  </si>
  <si>
    <t xml:space="preserve">Стоимость компьютерного кабеля
 </t>
  </si>
  <si>
    <t xml:space="preserve">Установка компьютерных розеток
 </t>
  </si>
  <si>
    <t>878
573</t>
  </si>
  <si>
    <t>11
1</t>
  </si>
  <si>
    <t>513
373</t>
  </si>
  <si>
    <t xml:space="preserve">Стоимость установочных коробок
 </t>
  </si>
  <si>
    <t xml:space="preserve">Стоимость распределительных коробок настенных
 </t>
  </si>
  <si>
    <t xml:space="preserve">Стоимость протяжных коробок
 </t>
  </si>
  <si>
    <t xml:space="preserve">Щитки осветительные, устанавливаемые в нише распорными дюбелями, масса щитка, кг, до: 25
 </t>
  </si>
  <si>
    <t>137,35
47,91</t>
  </si>
  <si>
    <t>621
377</t>
  </si>
  <si>
    <t>56
4</t>
  </si>
  <si>
    <t>340
248</t>
  </si>
  <si>
    <t xml:space="preserve">Стоимость щитка осветительного на 16 групп
 </t>
  </si>
  <si>
    <t>ФЕРм08-03-600-02</t>
  </si>
  <si>
    <t xml:space="preserve">Счетчики, устанавливаемые на готовом основании: трехфазные
 </t>
  </si>
  <si>
    <t>11,33
8,63</t>
  </si>
  <si>
    <t>2,31
0,14</t>
  </si>
  <si>
    <t>декабрь 2006 г п/п 3417
 Козп=7,87
Кэм=4
Кмат=3,29</t>
  </si>
  <si>
    <t>78
68</t>
  </si>
  <si>
    <t>9
1</t>
  </si>
  <si>
    <t>62
45</t>
  </si>
  <si>
    <t xml:space="preserve">Стоимость счетчика трехфазного
 </t>
  </si>
  <si>
    <t>ФЕРм08-03-526-01</t>
  </si>
  <si>
    <t xml:space="preserve">Выключатели установочные автоматические (автоматы) или неавтоматические. Автомат одно-, двух-, трехполюсный, устанавливаемый на конструкции на стене или колонне, на ток, А, до: 25
 </t>
  </si>
  <si>
    <t>281,74
14,85</t>
  </si>
  <si>
    <t>2,28
0,03</t>
  </si>
  <si>
    <t>декабрь 2006 г п/п 3143
 Козп=7,87
Кэм=4,46
Кмат=2,11</t>
  </si>
  <si>
    <t>8910
1519</t>
  </si>
  <si>
    <t>132
3</t>
  </si>
  <si>
    <t>1359
989</t>
  </si>
  <si>
    <t xml:space="preserve">Стоимость выключателей автоматических установочных на 25А
 </t>
  </si>
  <si>
    <t xml:space="preserve">Стоимость выключателей автоматических трехполюсных
 </t>
  </si>
  <si>
    <t>ФЕРм08-03-594-17</t>
  </si>
  <si>
    <t xml:space="preserve">Установка светильников с люминесцентными лампами в подвесных потолках, устанавливаемый на закладных деталях, количество ламп в светильнике до 4
 </t>
  </si>
  <si>
    <t>4475,55
1626,88</t>
  </si>
  <si>
    <t>2131,76
682,13</t>
  </si>
  <si>
    <t>декабрь 2006 г п/п 3380
 Козп=7,87
Кэм=4,01
Кмат=2,58</t>
  </si>
  <si>
    <t>4408
2433</t>
  </si>
  <si>
    <t>1624
1020</t>
  </si>
  <si>
    <t>3084
2244</t>
  </si>
  <si>
    <t>ФСЦМ-546-0601</t>
  </si>
  <si>
    <t xml:space="preserve">Светильники с люминисцентными лампами для общественных помещений, потолочный с рассеивателем цельным из оргстекла, со стартерными ПРА, тип ЛПО02-4х40/П-01 УХЛ4
 </t>
  </si>
  <si>
    <t>ФСЦМ-546-0110</t>
  </si>
  <si>
    <t xml:space="preserve">Лампы люминисцентные ртутные низкого давления типа ЛБ, ЛД, ЛДЦ, ЛТВ, ЛБХ 20
 </t>
  </si>
  <si>
    <t>10шт</t>
  </si>
  <si>
    <t>ФСЦМ-546-0401</t>
  </si>
  <si>
    <t xml:space="preserve">Стартеры для люминесцентных ламп 4-20/СК-127С
 </t>
  </si>
  <si>
    <t>ФЕРм08-03-594-2</t>
  </si>
  <si>
    <t xml:space="preserve">Светильники с люминесцентными лампами отдельно устанавливаемый на штырях с количеством ламп в светильнике 2 полугерметичные
 </t>
  </si>
  <si>
    <t>5735,53
1150,72</t>
  </si>
  <si>
    <t>1874,91
522,93</t>
  </si>
  <si>
    <t>декабрь 2006 г п/п 3365
 Козп=7,87
Кэм=4,05
Кмат=2,62</t>
  </si>
  <si>
    <t>475
181</t>
  </si>
  <si>
    <t>152
82</t>
  </si>
  <si>
    <t xml:space="preserve"> 89,3%*0,9
 65%*0,85</t>
  </si>
  <si>
    <t>211
145</t>
  </si>
  <si>
    <t xml:space="preserve">Стоимость светильников полугерметичных НППО-02-100
 </t>
  </si>
  <si>
    <t>Итого прямые затраты по смете в текущих ценах</t>
  </si>
  <si>
    <t>792409
191587</t>
  </si>
  <si>
    <t>34342
7558</t>
  </si>
  <si>
    <t>Накладные расходы</t>
  </si>
  <si>
    <t>Сметная прибыль</t>
  </si>
  <si>
    <t>Итоги по смете:</t>
  </si>
  <si>
    <t xml:space="preserve">  Итого</t>
  </si>
  <si>
    <t xml:space="preserve">  Временные 1,2%</t>
  </si>
  <si>
    <t xml:space="preserve">  Составление сметы 1%</t>
  </si>
  <si>
    <t xml:space="preserve">  Зимнее удорожание 1,41%</t>
  </si>
  <si>
    <t xml:space="preserve">  НДС 18%</t>
  </si>
  <si>
    <t xml:space="preserve">  ВСЕГО по смете</t>
  </si>
  <si>
    <t>Ул. Гагарина, д. 16 г. Реутова</t>
  </si>
  <si>
    <t>на капитальный ремонт помещений отдела жилищных субсидий</t>
  </si>
  <si>
    <t>Основание:  дефектная ведомость</t>
  </si>
  <si>
    <t>Составлен в базисных и текущих ценах по состоянию на декабрь</t>
  </si>
  <si>
    <t>Составил:_______________________                 В.М. Петухова</t>
  </si>
  <si>
    <t>Проверил:_______________________</t>
  </si>
  <si>
    <t>(наименование работ и затрат, наименование объекта)</t>
  </si>
  <si>
    <t>№ пп</t>
  </si>
  <si>
    <t>Обоснование</t>
  </si>
  <si>
    <t>Наименование</t>
  </si>
  <si>
    <t>Ед. изм.</t>
  </si>
  <si>
    <t>Кол.</t>
  </si>
  <si>
    <t>ФОТ</t>
  </si>
  <si>
    <t>Всего</t>
  </si>
  <si>
    <t>(наименование стройки)</t>
  </si>
  <si>
    <t>в т.ч. оплата труда</t>
  </si>
  <si>
    <t>оплата труда</t>
  </si>
  <si>
    <t>Экспл. маш.</t>
  </si>
  <si>
    <t>Стоимость единицы в базисных ценах</t>
  </si>
  <si>
    <t>Сметная стоимость</t>
  </si>
  <si>
    <t>Общая стоимость в текущих ценах</t>
  </si>
  <si>
    <t>Обоснование индекса</t>
  </si>
  <si>
    <t>индексы по статьям затрат</t>
  </si>
  <si>
    <t>руб.</t>
  </si>
  <si>
    <t>Сумма</t>
  </si>
  <si>
    <t>Матер.</t>
  </si>
  <si>
    <t>Стоим СМР в текущих ценах  с НР и СП</t>
  </si>
  <si>
    <t>Накладн расходы/ сметная прибыль</t>
  </si>
  <si>
    <t>Нормативные показатели     (2000 г.) в % от  ФОТ  Ннр / Нсп</t>
  </si>
  <si>
    <t>2006 г.</t>
  </si>
  <si>
    <t xml:space="preserve">ЛОКАЛЬНЫЙ  СМЕТНЫЙ  РАСЧЕТ  № </t>
  </si>
  <si>
    <t xml:space="preserve">                           Раздел 1. Полы</t>
  </si>
  <si>
    <t>ТЕРр57-03-1</t>
  </si>
  <si>
    <t xml:space="preserve">Разборка плинтусов деревянных
 </t>
  </si>
  <si>
    <t>100 м плинтусов</t>
  </si>
  <si>
    <t>29,41
29,41</t>
  </si>
  <si>
    <t>декабрь 2006 г п/п 289
 Козп=7,87</t>
  </si>
  <si>
    <t>182
182</t>
  </si>
  <si>
    <t xml:space="preserve"> 75,2%
 68%</t>
  </si>
  <si>
    <t>137
124</t>
  </si>
  <si>
    <t>ТЕРр57-02-1</t>
  </si>
  <si>
    <t xml:space="preserve">Разборка покрытий полов из линолеума
 </t>
  </si>
  <si>
    <t>100 м2 покрытий</t>
  </si>
  <si>
    <t>91,44
88,84</t>
  </si>
  <si>
    <t>2,6
1,76</t>
  </si>
  <si>
    <t>декабрь 2006 г п/п 279
 Козп=7,87
Кэм=6</t>
  </si>
  <si>
    <t>609
596</t>
  </si>
  <si>
    <t>13
12</t>
  </si>
  <si>
    <t>457
413</t>
  </si>
  <si>
    <t>ТЕРр57-02-7</t>
  </si>
  <si>
    <t xml:space="preserve">Разборка основания полов из древесноволокнистых плит
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</si>
</sst>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Tahoma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right" vertical="top" wrapText="1"/>
      <protection/>
    </xf>
    <xf numFmtId="0" fontId="2" fillId="0" borderId="1" applyFill="0" applyProtection="0">
      <alignment horizontal="center"/>
    </xf>
    <xf numFmtId="0" fontId="2" fillId="0" borderId="0">
      <alignment vertical="top" wrapText="1"/>
      <protection/>
    </xf>
    <xf numFmtId="0" fontId="0" fillId="0" borderId="0">
      <alignment/>
      <protection/>
    </xf>
    <xf numFmtId="0" fontId="0" fillId="0" borderId="0" applyProtection="0">
      <alignment/>
    </xf>
    <xf numFmtId="0" fontId="2" fillId="0" borderId="0">
      <alignment vertical="top" wrapText="1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29" applyFont="1" applyBorder="1" applyAlignment="1">
      <alignment horizontal="left"/>
      <protection/>
    </xf>
    <xf numFmtId="0" fontId="2" fillId="0" borderId="0" xfId="20" applyAlignment="1">
      <alignment horizontal="right" vertical="top"/>
      <protection/>
    </xf>
    <xf numFmtId="0" fontId="3" fillId="0" borderId="0" xfId="0" applyFont="1" applyAlignment="1">
      <alignment/>
    </xf>
    <xf numFmtId="49" fontId="2" fillId="0" borderId="0" xfId="25" applyNumberFormat="1" applyFont="1" applyFill="1" applyAlignment="1">
      <alignment horizontal="center" vertical="top" wrapText="1"/>
      <protection/>
    </xf>
    <xf numFmtId="0" fontId="2" fillId="0" borderId="0" xfId="25" applyFont="1" applyFill="1">
      <alignment vertical="top" wrapText="1"/>
      <protection/>
    </xf>
    <xf numFmtId="49" fontId="5" fillId="0" borderId="0" xfId="25" applyNumberFormat="1" applyFont="1" applyFill="1" applyAlignment="1">
      <alignment vertical="top" wrapText="1"/>
      <protection/>
    </xf>
    <xf numFmtId="49" fontId="5" fillId="0" borderId="0" xfId="0" applyNumberFormat="1" applyFont="1" applyFill="1" applyAlignment="1">
      <alignment vertical="top" wrapText="1"/>
    </xf>
    <xf numFmtId="0" fontId="2" fillId="0" borderId="0" xfId="22" applyFill="1">
      <alignment vertical="top" wrapText="1"/>
      <protection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1" xfId="23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3" xfId="23" applyFont="1" applyBorder="1" applyAlignment="1">
      <alignment horizontal="center" vertical="center" wrapText="1"/>
      <protection/>
    </xf>
    <xf numFmtId="0" fontId="2" fillId="0" borderId="1" xfId="21" applyFont="1">
      <alignment horizontal="center"/>
    </xf>
    <xf numFmtId="0" fontId="2" fillId="0" borderId="0" xfId="21" applyFont="1" applyBorder="1">
      <alignment horizontal="center"/>
    </xf>
    <xf numFmtId="0" fontId="2" fillId="0" borderId="0" xfId="0" applyFont="1" applyAlignment="1">
      <alignment/>
    </xf>
    <xf numFmtId="0" fontId="2" fillId="0" borderId="0" xfId="20" applyFont="1">
      <alignment horizontal="right" vertical="top" wrapText="1"/>
      <protection/>
    </xf>
    <xf numFmtId="0" fontId="2" fillId="0" borderId="0" xfId="32" applyFont="1">
      <alignment horizontal="left" vertical="top"/>
      <protection/>
    </xf>
    <xf numFmtId="0" fontId="2" fillId="0" borderId="0" xfId="33" applyFont="1">
      <alignment horizontal="left" vertical="top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top" wrapText="1"/>
      <protection/>
    </xf>
    <xf numFmtId="0" fontId="3" fillId="0" borderId="0" xfId="0" applyFont="1" applyFill="1" applyAlignment="1">
      <alignment/>
    </xf>
    <xf numFmtId="0" fontId="4" fillId="0" borderId="4" xfId="23" applyFont="1" applyBorder="1" applyAlignment="1">
      <alignment horizontal="center" vertical="center" wrapText="1"/>
      <protection/>
    </xf>
    <xf numFmtId="0" fontId="4" fillId="0" borderId="5" xfId="23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left" vertical="top" wrapText="1"/>
      <protection/>
    </xf>
    <xf numFmtId="0" fontId="16" fillId="0" borderId="1" xfId="0" applyFont="1" applyBorder="1" applyAlignment="1">
      <alignment horizontal="left" vertical="top" wrapText="1"/>
    </xf>
    <xf numFmtId="0" fontId="2" fillId="0" borderId="1" xfId="20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" fontId="3" fillId="0" borderId="0" xfId="29" applyNumberFormat="1" applyFont="1" applyBorder="1" applyAlignment="1">
      <alignment horizontal="center"/>
      <protection/>
    </xf>
    <xf numFmtId="49" fontId="5" fillId="0" borderId="0" xfId="0" applyNumberFormat="1" applyFont="1" applyFill="1" applyAlignment="1">
      <alignment horizontal="center" vertical="top" wrapText="1"/>
    </xf>
    <xf numFmtId="0" fontId="15" fillId="0" borderId="6" xfId="29" applyFont="1" applyBorder="1" applyAlignment="1">
      <alignment horizontal="center"/>
      <protection/>
    </xf>
    <xf numFmtId="0" fontId="7" fillId="0" borderId="4" xfId="0" applyFont="1" applyBorder="1" applyAlignment="1">
      <alignment horizontal="center" vertical="top"/>
    </xf>
    <xf numFmtId="0" fontId="14" fillId="0" borderId="0" xfId="29" applyFont="1" applyBorder="1" applyAlignment="1">
      <alignment horizontal="center" vertical="center"/>
      <protection/>
    </xf>
    <xf numFmtId="0" fontId="7" fillId="0" borderId="4" xfId="0" applyFont="1" applyBorder="1" applyAlignment="1">
      <alignment horizontal="center" vertical="top" wrapText="1"/>
    </xf>
    <xf numFmtId="0" fontId="14" fillId="0" borderId="6" xfId="29" applyFont="1" applyBorder="1" applyAlignment="1">
      <alignment horizontal="center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23" applyFont="1" applyBorder="1" applyAlignment="1">
      <alignment horizontal="center" vertical="center" wrapText="1"/>
      <protection/>
    </xf>
    <xf numFmtId="0" fontId="4" fillId="0" borderId="7" xfId="23" applyFont="1" applyBorder="1" applyAlignment="1">
      <alignment horizontal="center" vertical="center" wrapText="1"/>
      <protection/>
    </xf>
    <xf numFmtId="0" fontId="4" fillId="0" borderId="2" xfId="23" applyFont="1" applyBorder="1" applyAlignment="1">
      <alignment horizontal="center" vertical="center" wrapText="1"/>
      <protection/>
    </xf>
    <xf numFmtId="0" fontId="4" fillId="0" borderId="7" xfId="24" applyFont="1" applyBorder="1" applyAlignment="1">
      <alignment horizontal="center" vertical="center" wrapText="1"/>
    </xf>
    <xf numFmtId="0" fontId="4" fillId="0" borderId="8" xfId="24" applyFont="1" applyBorder="1">
      <alignment/>
    </xf>
    <xf numFmtId="0" fontId="4" fillId="0" borderId="2" xfId="24" applyFont="1" applyBorder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0" applyNumberFormat="1" applyFont="1" applyFill="1" applyAlignment="1">
      <alignment horizontal="center" wrapText="1"/>
    </xf>
  </cellXfs>
  <cellStyles count="20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Обычный_Кремль" xfId="22"/>
    <cellStyle name="Обычный_Мои данные" xfId="23"/>
    <cellStyle name="Обычный_Мой шаблон1" xfId="24"/>
    <cellStyle name="Обычный_Смета, КС-21" xfId="25"/>
    <cellStyle name="Followed Hyperlink" xfId="26"/>
    <cellStyle name="Percent" xfId="27"/>
    <cellStyle name="РесСмета" xfId="28"/>
    <cellStyle name="Титул" xfId="29"/>
    <cellStyle name="Comma" xfId="30"/>
    <cellStyle name="Comma [0]" xfId="31"/>
    <cellStyle name="Хвост" xfId="32"/>
    <cellStyle name="Хвост_Переменные и константы" xfId="3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4"/>
  <sheetViews>
    <sheetView tabSelected="1" zoomScale="75" zoomScaleNormal="75" zoomScaleSheetLayoutView="70" workbookViewId="0" topLeftCell="A1">
      <selection activeCell="A6" sqref="A6:P6"/>
    </sheetView>
  </sheetViews>
  <sheetFormatPr defaultColWidth="9.00390625" defaultRowHeight="12.75"/>
  <cols>
    <col min="1" max="1" width="3.875" style="0" customWidth="1"/>
    <col min="2" max="2" width="11.00390625" style="0" customWidth="1"/>
    <col min="3" max="3" width="24.375" style="0" customWidth="1"/>
    <col min="4" max="4" width="10.375" style="0" customWidth="1"/>
    <col min="5" max="5" width="7.125" style="0" customWidth="1"/>
    <col min="6" max="6" width="9.75390625" style="0" customWidth="1"/>
    <col min="9" max="9" width="11.75390625" style="0" customWidth="1"/>
    <col min="10" max="10" width="11.125" style="0" customWidth="1"/>
    <col min="11" max="11" width="11.00390625" style="0" customWidth="1"/>
    <col min="12" max="12" width="10.875" style="0" customWidth="1"/>
    <col min="13" max="13" width="9.00390625" style="0" customWidth="1"/>
    <col min="14" max="14" width="13.375" style="0" customWidth="1"/>
    <col min="15" max="15" width="10.75390625" style="0" customWidth="1"/>
    <col min="16" max="16" width="10.125" style="0" customWidth="1"/>
    <col min="17" max="16384" width="9.125" style="24" customWidth="1"/>
  </cols>
  <sheetData>
    <row r="1" spans="14:15" ht="30.75" customHeight="1">
      <c r="N1" s="74" t="s">
        <v>174</v>
      </c>
      <c r="O1" s="74"/>
    </row>
    <row r="2" spans="1:17" ht="110.25" customHeight="1">
      <c r="A2" s="54" t="s">
        <v>173</v>
      </c>
      <c r="B2" s="54"/>
      <c r="C2" s="54"/>
      <c r="D2" s="19"/>
      <c r="E2" s="19"/>
      <c r="F2" s="20"/>
      <c r="G2" s="21"/>
      <c r="H2" s="21"/>
      <c r="I2" s="20"/>
      <c r="J2" s="15"/>
      <c r="K2" s="22"/>
      <c r="L2" s="22"/>
      <c r="M2" s="15"/>
      <c r="N2" s="75" t="s">
        <v>505</v>
      </c>
      <c r="O2" s="75"/>
      <c r="P2" s="75"/>
      <c r="Q2" s="20"/>
    </row>
    <row r="3" spans="1:17" ht="18" customHeight="1">
      <c r="A3" s="40"/>
      <c r="B3" s="40"/>
      <c r="C3" s="40"/>
      <c r="D3" s="19"/>
      <c r="E3" s="19"/>
      <c r="F3" s="20"/>
      <c r="G3" s="21"/>
      <c r="H3" s="21"/>
      <c r="I3" s="20"/>
      <c r="J3" s="15"/>
      <c r="K3" s="22"/>
      <c r="L3" s="22"/>
      <c r="M3" s="15"/>
      <c r="N3" s="40"/>
      <c r="O3" s="40"/>
      <c r="P3" s="40"/>
      <c r="Q3" s="20"/>
    </row>
    <row r="4" spans="1:16" s="15" customFormat="1" ht="19.5" customHeight="1">
      <c r="A4" s="59" t="s">
        <v>1040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15" customFormat="1" ht="15" customHeight="1">
      <c r="A5" s="58" t="s">
        <v>1054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15" customFormat="1" ht="30" customHeight="1">
      <c r="A6" s="57" t="s">
        <v>1070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5" s="15" customFormat="1" ht="12.75">
      <c r="A7" s="3"/>
      <c r="B7" s="4"/>
      <c r="C7" s="7"/>
      <c r="D7" s="1"/>
      <c r="E7" s="8"/>
      <c r="F7" s="9"/>
      <c r="G7" s="9"/>
      <c r="H7" s="9"/>
      <c r="I7" s="9"/>
      <c r="J7" s="2"/>
      <c r="K7" s="6"/>
      <c r="L7" s="6"/>
      <c r="M7" s="2"/>
      <c r="N7" s="2"/>
      <c r="O7" s="2"/>
    </row>
    <row r="8" spans="1:16" s="15" customFormat="1" ht="15.75" customHeight="1">
      <c r="A8" s="55" t="s">
        <v>1041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s="15" customFormat="1" ht="15" customHeight="1">
      <c r="A9" s="56" t="s">
        <v>1046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12.75">
      <c r="A10" s="10"/>
      <c r="B10" s="11"/>
      <c r="C10" s="5"/>
      <c r="D10" s="1"/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3"/>
      <c r="B11" s="4"/>
      <c r="C11" s="13" t="s">
        <v>1042</v>
      </c>
      <c r="D11" s="16"/>
      <c r="E11" s="6"/>
      <c r="F11" s="2"/>
      <c r="G11" s="2"/>
      <c r="H11" s="2"/>
      <c r="I11" s="2"/>
      <c r="J11" s="2"/>
      <c r="K11" s="14"/>
      <c r="L11" s="14"/>
      <c r="M11" s="14"/>
      <c r="N11" s="2"/>
      <c r="O11" s="2"/>
      <c r="P11" s="2"/>
    </row>
    <row r="12" spans="1:16" ht="15.75">
      <c r="A12" s="3"/>
      <c r="B12" s="4"/>
      <c r="C12" s="13" t="s">
        <v>1059</v>
      </c>
      <c r="D12" s="53">
        <v>1315404</v>
      </c>
      <c r="E12" s="53"/>
      <c r="F12" s="13" t="s">
        <v>1063</v>
      </c>
      <c r="G12" s="17"/>
      <c r="H12" s="17"/>
      <c r="I12" s="17"/>
      <c r="J12" s="17"/>
      <c r="K12" s="17"/>
      <c r="L12" s="17"/>
      <c r="M12" s="14"/>
      <c r="N12" s="2"/>
      <c r="O12" s="2"/>
      <c r="P12" s="2"/>
    </row>
    <row r="13" spans="1:16" ht="15.75">
      <c r="A13" s="3"/>
      <c r="B13" s="4"/>
      <c r="C13" s="18" t="s">
        <v>1043</v>
      </c>
      <c r="D13" s="18"/>
      <c r="E13" s="18"/>
      <c r="F13" s="18"/>
      <c r="G13" s="18"/>
      <c r="H13" s="18"/>
      <c r="I13" s="44" t="s">
        <v>1069</v>
      </c>
      <c r="J13" s="18"/>
      <c r="K13" s="18"/>
      <c r="L13" s="18"/>
      <c r="M13" s="18"/>
      <c r="N13" s="2"/>
      <c r="O13" s="2"/>
      <c r="P13" s="2"/>
    </row>
    <row r="14" spans="1:16" ht="12.75">
      <c r="A14" s="3"/>
      <c r="B14" s="4"/>
      <c r="C14" s="5"/>
      <c r="D14" s="1"/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4"/>
    </row>
    <row r="15" spans="1:16" s="25" customFormat="1" ht="12.75" customHeight="1">
      <c r="A15" s="60" t="s">
        <v>1047</v>
      </c>
      <c r="B15" s="60" t="s">
        <v>1048</v>
      </c>
      <c r="C15" s="60" t="s">
        <v>1049</v>
      </c>
      <c r="D15" s="60" t="s">
        <v>1050</v>
      </c>
      <c r="E15" s="60" t="s">
        <v>1051</v>
      </c>
      <c r="F15" s="67" t="s">
        <v>1058</v>
      </c>
      <c r="G15" s="45"/>
      <c r="H15" s="46"/>
      <c r="I15" s="60" t="s">
        <v>1061</v>
      </c>
      <c r="J15" s="67" t="s">
        <v>1060</v>
      </c>
      <c r="K15" s="45"/>
      <c r="L15" s="46"/>
      <c r="M15" s="60" t="s">
        <v>1052</v>
      </c>
      <c r="N15" s="70" t="s">
        <v>1068</v>
      </c>
      <c r="O15" s="39" t="s">
        <v>1064</v>
      </c>
      <c r="P15" s="60" t="s">
        <v>1066</v>
      </c>
    </row>
    <row r="16" spans="1:16" s="25" customFormat="1" ht="24" customHeight="1">
      <c r="A16" s="61"/>
      <c r="B16" s="61"/>
      <c r="C16" s="63"/>
      <c r="D16" s="65"/>
      <c r="E16" s="61"/>
      <c r="F16" s="26" t="s">
        <v>1053</v>
      </c>
      <c r="G16" s="26" t="s">
        <v>1057</v>
      </c>
      <c r="H16" s="68" t="s">
        <v>1065</v>
      </c>
      <c r="I16" s="66"/>
      <c r="J16" s="26" t="s">
        <v>1053</v>
      </c>
      <c r="K16" s="26" t="s">
        <v>1057</v>
      </c>
      <c r="L16" s="68" t="s">
        <v>1065</v>
      </c>
      <c r="M16" s="65"/>
      <c r="N16" s="71"/>
      <c r="O16" s="73" t="s">
        <v>1067</v>
      </c>
      <c r="P16" s="65"/>
    </row>
    <row r="17" spans="1:16" s="25" customFormat="1" ht="36">
      <c r="A17" s="62"/>
      <c r="B17" s="62"/>
      <c r="C17" s="64"/>
      <c r="D17" s="66"/>
      <c r="E17" s="62"/>
      <c r="F17" s="26" t="s">
        <v>1056</v>
      </c>
      <c r="G17" s="28" t="s">
        <v>1055</v>
      </c>
      <c r="H17" s="69"/>
      <c r="I17" s="27" t="s">
        <v>1062</v>
      </c>
      <c r="J17" s="26" t="s">
        <v>1056</v>
      </c>
      <c r="K17" s="28" t="s">
        <v>1055</v>
      </c>
      <c r="L17" s="69"/>
      <c r="M17" s="66"/>
      <c r="N17" s="72"/>
      <c r="O17" s="73"/>
      <c r="P17" s="66"/>
    </row>
    <row r="18" spans="1:16" s="30" customFormat="1" ht="12.75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9">
        <v>12</v>
      </c>
      <c r="M18" s="29">
        <v>13</v>
      </c>
      <c r="N18" s="29">
        <v>14</v>
      </c>
      <c r="O18" s="29">
        <v>15</v>
      </c>
      <c r="P18" s="29">
        <v>16</v>
      </c>
    </row>
    <row r="19" spans="1:16" s="38" customFormat="1" ht="12.75">
      <c r="A19" s="51" t="s">
        <v>1071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21" s="32" customFormat="1" ht="63.75">
      <c r="A20" s="35">
        <v>1</v>
      </c>
      <c r="B20" s="35" t="s">
        <v>1072</v>
      </c>
      <c r="C20" s="36" t="s">
        <v>1073</v>
      </c>
      <c r="D20" s="35" t="s">
        <v>1074</v>
      </c>
      <c r="E20" s="35">
        <v>0.787</v>
      </c>
      <c r="F20" s="35" t="s">
        <v>1075</v>
      </c>
      <c r="G20" s="35"/>
      <c r="H20" s="35"/>
      <c r="I20" s="35" t="s">
        <v>1076</v>
      </c>
      <c r="J20" s="35" t="s">
        <v>1077</v>
      </c>
      <c r="K20" s="35"/>
      <c r="L20" s="35"/>
      <c r="M20" s="35">
        <f>182</f>
        <v>182</v>
      </c>
      <c r="N20" s="37" t="s">
        <v>1078</v>
      </c>
      <c r="O20" s="37" t="s">
        <v>1079</v>
      </c>
      <c r="P20" s="37">
        <f>182+137+124</f>
        <v>443</v>
      </c>
      <c r="Q20" s="38"/>
      <c r="R20" s="38"/>
      <c r="S20" s="38"/>
      <c r="T20" s="38"/>
      <c r="U20" s="38"/>
    </row>
    <row r="21" spans="1:21" s="25" customFormat="1" ht="76.5">
      <c r="A21" s="35">
        <v>2</v>
      </c>
      <c r="B21" s="35" t="s">
        <v>1080</v>
      </c>
      <c r="C21" s="36" t="s">
        <v>1081</v>
      </c>
      <c r="D21" s="35" t="s">
        <v>1082</v>
      </c>
      <c r="E21" s="35">
        <v>0.8515</v>
      </c>
      <c r="F21" s="35" t="s">
        <v>1083</v>
      </c>
      <c r="G21" s="35" t="s">
        <v>1084</v>
      </c>
      <c r="H21" s="35"/>
      <c r="I21" s="35" t="s">
        <v>1085</v>
      </c>
      <c r="J21" s="35" t="s">
        <v>1086</v>
      </c>
      <c r="K21" s="35" t="s">
        <v>1087</v>
      </c>
      <c r="L21" s="35"/>
      <c r="M21" s="35">
        <f>596+12</f>
        <v>608</v>
      </c>
      <c r="N21" s="37" t="s">
        <v>1078</v>
      </c>
      <c r="O21" s="37" t="s">
        <v>1088</v>
      </c>
      <c r="P21" s="37">
        <f>609+457+413</f>
        <v>1479</v>
      </c>
      <c r="Q21" s="38"/>
      <c r="R21" s="38"/>
      <c r="S21" s="38"/>
      <c r="T21" s="38"/>
      <c r="U21" s="38"/>
    </row>
    <row r="22" spans="1:21" s="25" customFormat="1" ht="76.5">
      <c r="A22" s="35">
        <v>3</v>
      </c>
      <c r="B22" s="35" t="s">
        <v>1089</v>
      </c>
      <c r="C22" s="36" t="s">
        <v>1090</v>
      </c>
      <c r="D22" s="35" t="s">
        <v>1082</v>
      </c>
      <c r="E22" s="35">
        <v>0.8515</v>
      </c>
      <c r="F22" s="35" t="s">
        <v>0</v>
      </c>
      <c r="G22" s="35" t="s">
        <v>1</v>
      </c>
      <c r="H22" s="35"/>
      <c r="I22" s="35" t="s">
        <v>2</v>
      </c>
      <c r="J22" s="35" t="s">
        <v>3</v>
      </c>
      <c r="K22" s="35" t="s">
        <v>4</v>
      </c>
      <c r="L22" s="35"/>
      <c r="M22" s="35">
        <f>580+11</f>
        <v>591</v>
      </c>
      <c r="N22" s="37" t="s">
        <v>1078</v>
      </c>
      <c r="O22" s="37" t="s">
        <v>5</v>
      </c>
      <c r="P22" s="37">
        <f>592+444+402</f>
        <v>1438</v>
      </c>
      <c r="Q22" s="38"/>
      <c r="R22" s="38"/>
      <c r="S22" s="38"/>
      <c r="T22" s="38"/>
      <c r="U22" s="38"/>
    </row>
    <row r="23" spans="1:21" s="25" customFormat="1" ht="76.5">
      <c r="A23" s="35">
        <v>4</v>
      </c>
      <c r="B23" s="35" t="s">
        <v>6</v>
      </c>
      <c r="C23" s="36" t="s">
        <v>7</v>
      </c>
      <c r="D23" s="35" t="s">
        <v>8</v>
      </c>
      <c r="E23" s="35">
        <v>0.213</v>
      </c>
      <c r="F23" s="35" t="s">
        <v>9</v>
      </c>
      <c r="G23" s="35" t="s">
        <v>10</v>
      </c>
      <c r="H23" s="35"/>
      <c r="I23" s="35" t="s">
        <v>11</v>
      </c>
      <c r="J23" s="35" t="s">
        <v>12</v>
      </c>
      <c r="K23" s="35" t="s">
        <v>13</v>
      </c>
      <c r="L23" s="35"/>
      <c r="M23" s="35">
        <f>399+83</f>
        <v>482</v>
      </c>
      <c r="N23" s="37" t="s">
        <v>14</v>
      </c>
      <c r="O23" s="37" t="s">
        <v>15</v>
      </c>
      <c r="P23" s="37">
        <f>492+362+328</f>
        <v>1182</v>
      </c>
      <c r="Q23" s="38"/>
      <c r="R23" s="38"/>
      <c r="S23" s="38"/>
      <c r="T23" s="38"/>
      <c r="U23" s="38"/>
    </row>
    <row r="24" spans="1:21" s="25" customFormat="1" ht="63.75">
      <c r="A24" s="35">
        <v>5</v>
      </c>
      <c r="B24" s="35" t="s">
        <v>16</v>
      </c>
      <c r="C24" s="36" t="s">
        <v>17</v>
      </c>
      <c r="D24" s="35" t="s">
        <v>18</v>
      </c>
      <c r="E24" s="35">
        <v>0.213</v>
      </c>
      <c r="F24" s="35" t="s">
        <v>19</v>
      </c>
      <c r="G24" s="35"/>
      <c r="H24" s="35"/>
      <c r="I24" s="35" t="s">
        <v>20</v>
      </c>
      <c r="J24" s="35" t="s">
        <v>21</v>
      </c>
      <c r="K24" s="35"/>
      <c r="L24" s="35"/>
      <c r="M24" s="35">
        <f>100</f>
        <v>100</v>
      </c>
      <c r="N24" s="37" t="s">
        <v>22</v>
      </c>
      <c r="O24" s="37" t="s">
        <v>23</v>
      </c>
      <c r="P24" s="37">
        <f>100+75+68</f>
        <v>243</v>
      </c>
      <c r="Q24" s="38"/>
      <c r="R24" s="38"/>
      <c r="S24" s="38"/>
      <c r="T24" s="38"/>
      <c r="U24" s="38"/>
    </row>
    <row r="25" spans="1:21" s="25" customFormat="1" ht="89.25">
      <c r="A25" s="35">
        <v>6</v>
      </c>
      <c r="B25" s="35" t="s">
        <v>24</v>
      </c>
      <c r="C25" s="36" t="s">
        <v>25</v>
      </c>
      <c r="D25" s="35" t="s">
        <v>26</v>
      </c>
      <c r="E25" s="35">
        <v>2.13</v>
      </c>
      <c r="F25" s="35" t="s">
        <v>27</v>
      </c>
      <c r="G25" s="35" t="s">
        <v>28</v>
      </c>
      <c r="H25" s="35"/>
      <c r="I25" s="35" t="s">
        <v>29</v>
      </c>
      <c r="J25" s="35" t="s">
        <v>30</v>
      </c>
      <c r="K25" s="35" t="s">
        <v>31</v>
      </c>
      <c r="L25" s="35"/>
      <c r="M25" s="35">
        <f>479+69</f>
        <v>548</v>
      </c>
      <c r="N25" s="37" t="s">
        <v>22</v>
      </c>
      <c r="O25" s="37" t="s">
        <v>32</v>
      </c>
      <c r="P25" s="37">
        <f>683+570+349</f>
        <v>1602</v>
      </c>
      <c r="Q25" s="38"/>
      <c r="R25" s="38"/>
      <c r="S25" s="38"/>
      <c r="T25" s="38"/>
      <c r="U25" s="38"/>
    </row>
    <row r="26" spans="1:21" s="25" customFormat="1" ht="76.5">
      <c r="A26" s="35">
        <v>7</v>
      </c>
      <c r="B26" s="35" t="s">
        <v>33</v>
      </c>
      <c r="C26" s="36" t="s">
        <v>34</v>
      </c>
      <c r="D26" s="35" t="s">
        <v>1082</v>
      </c>
      <c r="E26" s="35">
        <v>0.177</v>
      </c>
      <c r="F26" s="35" t="s">
        <v>35</v>
      </c>
      <c r="G26" s="35" t="s">
        <v>36</v>
      </c>
      <c r="H26" s="35"/>
      <c r="I26" s="35" t="s">
        <v>37</v>
      </c>
      <c r="J26" s="35" t="s">
        <v>38</v>
      </c>
      <c r="K26" s="35" t="s">
        <v>39</v>
      </c>
      <c r="L26" s="35"/>
      <c r="M26" s="35">
        <f>830+27</f>
        <v>857</v>
      </c>
      <c r="N26" s="37" t="s">
        <v>22</v>
      </c>
      <c r="O26" s="37" t="s">
        <v>40</v>
      </c>
      <c r="P26" s="37">
        <f>861+644+583</f>
        <v>2088</v>
      </c>
      <c r="Q26" s="38"/>
      <c r="R26" s="38"/>
      <c r="S26" s="38"/>
      <c r="T26" s="38"/>
      <c r="U26" s="38"/>
    </row>
    <row r="27" spans="1:21" s="25" customFormat="1" ht="76.5">
      <c r="A27" s="35">
        <v>8</v>
      </c>
      <c r="B27" s="35" t="s">
        <v>41</v>
      </c>
      <c r="C27" s="36" t="s">
        <v>42</v>
      </c>
      <c r="D27" s="35" t="s">
        <v>8</v>
      </c>
      <c r="E27" s="35">
        <v>0.207</v>
      </c>
      <c r="F27" s="35" t="s">
        <v>43</v>
      </c>
      <c r="G27" s="35" t="s">
        <v>44</v>
      </c>
      <c r="H27" s="35"/>
      <c r="I27" s="35" t="s">
        <v>45</v>
      </c>
      <c r="J27" s="35" t="s">
        <v>46</v>
      </c>
      <c r="K27" s="35" t="s">
        <v>47</v>
      </c>
      <c r="L27" s="35"/>
      <c r="M27" s="35">
        <f>402+91</f>
        <v>493</v>
      </c>
      <c r="N27" s="37" t="s">
        <v>14</v>
      </c>
      <c r="O27" s="37" t="s">
        <v>48</v>
      </c>
      <c r="P27" s="37">
        <f>1066+459+293</f>
        <v>1818</v>
      </c>
      <c r="Q27" s="38"/>
      <c r="R27" s="38"/>
      <c r="S27" s="38"/>
      <c r="T27" s="38"/>
      <c r="U27" s="38"/>
    </row>
    <row r="28" spans="1:21" s="23" customFormat="1" ht="127.5">
      <c r="A28" s="35">
        <v>9</v>
      </c>
      <c r="B28" s="35" t="s">
        <v>49</v>
      </c>
      <c r="C28" s="36" t="s">
        <v>50</v>
      </c>
      <c r="D28" s="35" t="s">
        <v>51</v>
      </c>
      <c r="E28" s="35">
        <v>0.032</v>
      </c>
      <c r="F28" s="35" t="s">
        <v>52</v>
      </c>
      <c r="G28" s="35" t="s">
        <v>53</v>
      </c>
      <c r="H28" s="35">
        <v>1908.95</v>
      </c>
      <c r="I28" s="35" t="s">
        <v>54</v>
      </c>
      <c r="J28" s="35" t="s">
        <v>55</v>
      </c>
      <c r="K28" s="35" t="s">
        <v>56</v>
      </c>
      <c r="L28" s="35">
        <v>202</v>
      </c>
      <c r="M28" s="35">
        <f>151+2</f>
        <v>153</v>
      </c>
      <c r="N28" s="37" t="s">
        <v>22</v>
      </c>
      <c r="O28" s="37" t="s">
        <v>57</v>
      </c>
      <c r="P28" s="37">
        <f>409+159+98</f>
        <v>666</v>
      </c>
      <c r="Q28" s="38"/>
      <c r="R28" s="38"/>
      <c r="S28" s="38"/>
      <c r="T28" s="38"/>
      <c r="U28" s="38"/>
    </row>
    <row r="29" spans="1:21" s="23" customFormat="1" ht="140.25">
      <c r="A29" s="35">
        <v>10</v>
      </c>
      <c r="B29" s="35" t="s">
        <v>58</v>
      </c>
      <c r="C29" s="36" t="s">
        <v>59</v>
      </c>
      <c r="D29" s="35" t="s">
        <v>51</v>
      </c>
      <c r="E29" s="35">
        <v>0.032</v>
      </c>
      <c r="F29" s="35" t="s">
        <v>60</v>
      </c>
      <c r="G29" s="35" t="s">
        <v>61</v>
      </c>
      <c r="H29" s="35">
        <v>1304.08</v>
      </c>
      <c r="I29" s="35" t="s">
        <v>62</v>
      </c>
      <c r="J29" s="35" t="s">
        <v>63</v>
      </c>
      <c r="K29" s="35" t="s">
        <v>64</v>
      </c>
      <c r="L29" s="35">
        <v>127</v>
      </c>
      <c r="M29" s="35">
        <f>91+1</f>
        <v>92</v>
      </c>
      <c r="N29" s="37" t="s">
        <v>22</v>
      </c>
      <c r="O29" s="37" t="s">
        <v>65</v>
      </c>
      <c r="P29" s="37">
        <f>245+96+59</f>
        <v>400</v>
      </c>
      <c r="Q29" s="38"/>
      <c r="R29" s="38"/>
      <c r="S29" s="38"/>
      <c r="T29" s="38"/>
      <c r="U29" s="38"/>
    </row>
    <row r="30" spans="1:21" ht="114.75">
      <c r="A30" s="35">
        <v>11</v>
      </c>
      <c r="B30" s="35" t="s">
        <v>66</v>
      </c>
      <c r="C30" s="36" t="s">
        <v>67</v>
      </c>
      <c r="D30" s="35" t="s">
        <v>68</v>
      </c>
      <c r="E30" s="35">
        <v>0.207</v>
      </c>
      <c r="F30" s="35" t="s">
        <v>69</v>
      </c>
      <c r="G30" s="35" t="s">
        <v>70</v>
      </c>
      <c r="H30" s="35">
        <v>1127.07</v>
      </c>
      <c r="I30" s="35" t="s">
        <v>71</v>
      </c>
      <c r="J30" s="35" t="s">
        <v>72</v>
      </c>
      <c r="K30" s="35" t="s">
        <v>73</v>
      </c>
      <c r="L30" s="35">
        <v>864</v>
      </c>
      <c r="M30" s="35">
        <f>588+35</f>
        <v>623</v>
      </c>
      <c r="N30" s="37" t="s">
        <v>22</v>
      </c>
      <c r="O30" s="37" t="s">
        <v>74</v>
      </c>
      <c r="P30" s="37">
        <f>1498+648+397</f>
        <v>2543</v>
      </c>
      <c r="Q30" s="38"/>
      <c r="R30" s="38"/>
      <c r="S30" s="38"/>
      <c r="T30" s="38"/>
      <c r="U30" s="38"/>
    </row>
    <row r="31" spans="1:21" ht="165.75">
      <c r="A31" s="35">
        <v>12</v>
      </c>
      <c r="B31" s="35" t="s">
        <v>75</v>
      </c>
      <c r="C31" s="36" t="s">
        <v>76</v>
      </c>
      <c r="D31" s="35" t="s">
        <v>68</v>
      </c>
      <c r="E31" s="35">
        <v>0.207</v>
      </c>
      <c r="F31" s="35" t="s">
        <v>77</v>
      </c>
      <c r="G31" s="35" t="s">
        <v>78</v>
      </c>
      <c r="H31" s="35">
        <v>279.63</v>
      </c>
      <c r="I31" s="35" t="s">
        <v>79</v>
      </c>
      <c r="J31" s="35" t="s">
        <v>80</v>
      </c>
      <c r="K31" s="35" t="s">
        <v>81</v>
      </c>
      <c r="L31" s="35">
        <v>857</v>
      </c>
      <c r="M31" s="35">
        <f>30+23</f>
        <v>53</v>
      </c>
      <c r="N31" s="37" t="s">
        <v>22</v>
      </c>
      <c r="O31" s="37" t="s">
        <v>82</v>
      </c>
      <c r="P31" s="37">
        <f>920+55+34</f>
        <v>1009</v>
      </c>
      <c r="Q31" s="38"/>
      <c r="R31" s="38"/>
      <c r="S31" s="38"/>
      <c r="T31" s="38"/>
      <c r="U31" s="38"/>
    </row>
    <row r="32" spans="1:21" ht="127.5">
      <c r="A32" s="35">
        <v>13</v>
      </c>
      <c r="B32" s="35" t="s">
        <v>83</v>
      </c>
      <c r="C32" s="36" t="s">
        <v>84</v>
      </c>
      <c r="D32" s="35" t="s">
        <v>8</v>
      </c>
      <c r="E32" s="35">
        <v>0.177</v>
      </c>
      <c r="F32" s="35" t="s">
        <v>85</v>
      </c>
      <c r="G32" s="35" t="s">
        <v>86</v>
      </c>
      <c r="H32" s="35">
        <v>7744.64</v>
      </c>
      <c r="I32" s="35" t="s">
        <v>87</v>
      </c>
      <c r="J32" s="35" t="s">
        <v>88</v>
      </c>
      <c r="K32" s="35" t="s">
        <v>89</v>
      </c>
      <c r="L32" s="35">
        <v>4071</v>
      </c>
      <c r="M32" s="35">
        <f>1679+60</f>
        <v>1739</v>
      </c>
      <c r="N32" s="37" t="s">
        <v>22</v>
      </c>
      <c r="O32" s="37" t="s">
        <v>90</v>
      </c>
      <c r="P32" s="37">
        <f>5864+1810+1109</f>
        <v>8783</v>
      </c>
      <c r="Q32" s="38"/>
      <c r="R32" s="38"/>
      <c r="S32" s="38"/>
      <c r="T32" s="38"/>
      <c r="U32" s="38"/>
    </row>
    <row r="33" spans="1:21" ht="127.5">
      <c r="A33" s="35">
        <v>14</v>
      </c>
      <c r="B33" s="35" t="s">
        <v>91</v>
      </c>
      <c r="C33" s="36" t="s">
        <v>92</v>
      </c>
      <c r="D33" s="35" t="s">
        <v>8</v>
      </c>
      <c r="E33" s="35">
        <v>0.03</v>
      </c>
      <c r="F33" s="35" t="s">
        <v>93</v>
      </c>
      <c r="G33" s="35" t="s">
        <v>94</v>
      </c>
      <c r="H33" s="35">
        <v>7979.24</v>
      </c>
      <c r="I33" s="35" t="s">
        <v>95</v>
      </c>
      <c r="J33" s="35" t="s">
        <v>96</v>
      </c>
      <c r="K33" s="35" t="s">
        <v>97</v>
      </c>
      <c r="L33" s="35">
        <v>695</v>
      </c>
      <c r="M33" s="35">
        <f>183+11</f>
        <v>194</v>
      </c>
      <c r="N33" s="37" t="s">
        <v>22</v>
      </c>
      <c r="O33" s="37" t="s">
        <v>98</v>
      </c>
      <c r="P33" s="37">
        <f>906+202+124</f>
        <v>1232</v>
      </c>
      <c r="Q33" s="38"/>
      <c r="R33" s="38"/>
      <c r="S33" s="38"/>
      <c r="T33" s="38"/>
      <c r="U33" s="38"/>
    </row>
    <row r="34" spans="1:21" ht="102">
      <c r="A34" s="35">
        <v>15</v>
      </c>
      <c r="B34" s="35" t="s">
        <v>99</v>
      </c>
      <c r="C34" s="36" t="s">
        <v>100</v>
      </c>
      <c r="D34" s="35" t="s">
        <v>51</v>
      </c>
      <c r="E34" s="35">
        <v>0.213</v>
      </c>
      <c r="F34" s="35" t="s">
        <v>101</v>
      </c>
      <c r="G34" s="35" t="s">
        <v>102</v>
      </c>
      <c r="H34" s="35">
        <v>851.5</v>
      </c>
      <c r="I34" s="35" t="s">
        <v>103</v>
      </c>
      <c r="J34" s="35" t="s">
        <v>104</v>
      </c>
      <c r="K34" s="35" t="s">
        <v>105</v>
      </c>
      <c r="L34" s="35">
        <v>437</v>
      </c>
      <c r="M34" s="35">
        <f>132+4</f>
        <v>136</v>
      </c>
      <c r="N34" s="37" t="s">
        <v>106</v>
      </c>
      <c r="O34" s="37" t="s">
        <v>107</v>
      </c>
      <c r="P34" s="37">
        <f>608+138+75</f>
        <v>821</v>
      </c>
      <c r="Q34" s="38"/>
      <c r="R34" s="38"/>
      <c r="S34" s="38"/>
      <c r="T34" s="38"/>
      <c r="U34" s="38"/>
    </row>
    <row r="35" spans="1:21" ht="114.75">
      <c r="A35" s="35">
        <v>16</v>
      </c>
      <c r="B35" s="35" t="s">
        <v>108</v>
      </c>
      <c r="C35" s="36" t="s">
        <v>109</v>
      </c>
      <c r="D35" s="35" t="s">
        <v>26</v>
      </c>
      <c r="E35" s="35">
        <v>1.06</v>
      </c>
      <c r="F35" s="35" t="s">
        <v>110</v>
      </c>
      <c r="G35" s="35">
        <v>50.24</v>
      </c>
      <c r="H35" s="35">
        <v>1567.13</v>
      </c>
      <c r="I35" s="35" t="s">
        <v>111</v>
      </c>
      <c r="J35" s="35" t="s">
        <v>112</v>
      </c>
      <c r="K35" s="35">
        <v>330</v>
      </c>
      <c r="L35" s="35">
        <v>6229</v>
      </c>
      <c r="M35" s="35">
        <f>944</f>
        <v>944</v>
      </c>
      <c r="N35" s="37" t="s">
        <v>113</v>
      </c>
      <c r="O35" s="37" t="s">
        <v>114</v>
      </c>
      <c r="P35" s="37">
        <f>7503+799+562</f>
        <v>8864</v>
      </c>
      <c r="Q35" s="38"/>
      <c r="R35" s="38"/>
      <c r="S35" s="38"/>
      <c r="T35" s="38"/>
      <c r="U35" s="38"/>
    </row>
    <row r="36" spans="1:21" ht="102">
      <c r="A36" s="35">
        <v>17</v>
      </c>
      <c r="B36" s="35" t="s">
        <v>115</v>
      </c>
      <c r="C36" s="36" t="s">
        <v>116</v>
      </c>
      <c r="D36" s="35" t="s">
        <v>117</v>
      </c>
      <c r="E36" s="35">
        <v>0.213</v>
      </c>
      <c r="F36" s="35" t="s">
        <v>118</v>
      </c>
      <c r="G36" s="35" t="s">
        <v>119</v>
      </c>
      <c r="H36" s="35">
        <v>3309.11</v>
      </c>
      <c r="I36" s="35" t="s">
        <v>120</v>
      </c>
      <c r="J36" s="35" t="s">
        <v>121</v>
      </c>
      <c r="K36" s="35" t="s">
        <v>122</v>
      </c>
      <c r="L36" s="35">
        <v>1714</v>
      </c>
      <c r="M36" s="35">
        <f>706+14</f>
        <v>720</v>
      </c>
      <c r="N36" s="37" t="s">
        <v>22</v>
      </c>
      <c r="O36" s="37" t="s">
        <v>123</v>
      </c>
      <c r="P36" s="37">
        <f>2491+749+459</f>
        <v>3699</v>
      </c>
      <c r="Q36" s="38"/>
      <c r="R36" s="38"/>
      <c r="S36" s="38"/>
      <c r="T36" s="38"/>
      <c r="U36" s="38"/>
    </row>
    <row r="37" spans="1:21" ht="102">
      <c r="A37" s="35">
        <v>18</v>
      </c>
      <c r="B37" s="35" t="s">
        <v>124</v>
      </c>
      <c r="C37" s="36" t="s">
        <v>125</v>
      </c>
      <c r="D37" s="35" t="s">
        <v>1082</v>
      </c>
      <c r="E37" s="35">
        <v>0.213</v>
      </c>
      <c r="F37" s="35" t="s">
        <v>126</v>
      </c>
      <c r="G37" s="35" t="s">
        <v>127</v>
      </c>
      <c r="H37" s="35">
        <v>8060.3</v>
      </c>
      <c r="I37" s="35" t="s">
        <v>128</v>
      </c>
      <c r="J37" s="35" t="s">
        <v>129</v>
      </c>
      <c r="K37" s="35" t="s">
        <v>130</v>
      </c>
      <c r="L37" s="35">
        <v>6267</v>
      </c>
      <c r="M37" s="35">
        <f>1097+22</f>
        <v>1119</v>
      </c>
      <c r="N37" s="37" t="s">
        <v>22</v>
      </c>
      <c r="O37" s="37" t="s">
        <v>131</v>
      </c>
      <c r="P37" s="37">
        <f>7524+1164+713</f>
        <v>9401</v>
      </c>
      <c r="Q37" s="38"/>
      <c r="R37" s="38"/>
      <c r="S37" s="38"/>
      <c r="T37" s="38"/>
      <c r="U37" s="38"/>
    </row>
    <row r="38" spans="1:21" ht="140.25">
      <c r="A38" s="35">
        <v>19</v>
      </c>
      <c r="B38" s="35" t="s">
        <v>132</v>
      </c>
      <c r="C38" s="36" t="s">
        <v>133</v>
      </c>
      <c r="D38" s="35" t="s">
        <v>8</v>
      </c>
      <c r="E38" s="35">
        <v>0.8515</v>
      </c>
      <c r="F38" s="35" t="s">
        <v>134</v>
      </c>
      <c r="G38" s="35" t="s">
        <v>135</v>
      </c>
      <c r="H38" s="35">
        <v>4001</v>
      </c>
      <c r="I38" s="35" t="s">
        <v>136</v>
      </c>
      <c r="J38" s="35" t="s">
        <v>137</v>
      </c>
      <c r="K38" s="35" t="s">
        <v>138</v>
      </c>
      <c r="L38" s="35">
        <v>162</v>
      </c>
      <c r="M38" s="35">
        <f>3185+66</f>
        <v>3251</v>
      </c>
      <c r="N38" s="37" t="s">
        <v>22</v>
      </c>
      <c r="O38" s="37" t="s">
        <v>139</v>
      </c>
      <c r="P38" s="37">
        <f>3759+3383+2073</f>
        <v>9215</v>
      </c>
      <c r="Q38" s="38"/>
      <c r="R38" s="38"/>
      <c r="S38" s="38"/>
      <c r="T38" s="38"/>
      <c r="U38" s="38"/>
    </row>
    <row r="39" spans="1:21" ht="89.25">
      <c r="A39" s="35">
        <v>20</v>
      </c>
      <c r="B39" s="35" t="s">
        <v>140</v>
      </c>
      <c r="C39" s="36" t="s">
        <v>141</v>
      </c>
      <c r="D39" s="35" t="s">
        <v>142</v>
      </c>
      <c r="E39" s="35">
        <v>1.32</v>
      </c>
      <c r="F39" s="35">
        <v>12480</v>
      </c>
      <c r="G39" s="35"/>
      <c r="H39" s="35">
        <v>12480</v>
      </c>
      <c r="I39" s="35" t="s">
        <v>136</v>
      </c>
      <c r="J39" s="35">
        <v>49256</v>
      </c>
      <c r="K39" s="35"/>
      <c r="L39" s="35">
        <v>49256</v>
      </c>
      <c r="M39" s="35"/>
      <c r="N39" s="37"/>
      <c r="O39" s="37"/>
      <c r="P39" s="37">
        <f>49256</f>
        <v>49256</v>
      </c>
      <c r="Q39" s="38"/>
      <c r="R39" s="38"/>
      <c r="S39" s="38"/>
      <c r="T39" s="38"/>
      <c r="U39" s="38"/>
    </row>
    <row r="40" spans="1:21" ht="89.25">
      <c r="A40" s="35">
        <v>21</v>
      </c>
      <c r="B40" s="35" t="s">
        <v>143</v>
      </c>
      <c r="C40" s="36" t="s">
        <v>144</v>
      </c>
      <c r="D40" s="35" t="s">
        <v>145</v>
      </c>
      <c r="E40" s="35">
        <v>0.068</v>
      </c>
      <c r="F40" s="35">
        <v>13500</v>
      </c>
      <c r="G40" s="35"/>
      <c r="H40" s="35">
        <v>13500</v>
      </c>
      <c r="I40" s="35" t="s">
        <v>136</v>
      </c>
      <c r="J40" s="35">
        <v>2745</v>
      </c>
      <c r="K40" s="35"/>
      <c r="L40" s="35">
        <v>2745</v>
      </c>
      <c r="M40" s="35"/>
      <c r="N40" s="37"/>
      <c r="O40" s="37"/>
      <c r="P40" s="37">
        <f>2745</f>
        <v>2745</v>
      </c>
      <c r="Q40" s="38"/>
      <c r="R40" s="38"/>
      <c r="S40" s="38"/>
      <c r="T40" s="38"/>
      <c r="U40" s="38"/>
    </row>
    <row r="41" spans="1:21" ht="89.25">
      <c r="A41" s="35">
        <v>22</v>
      </c>
      <c r="B41" s="35" t="s">
        <v>146</v>
      </c>
      <c r="C41" s="36" t="s">
        <v>147</v>
      </c>
      <c r="D41" s="35" t="s">
        <v>145</v>
      </c>
      <c r="E41" s="35">
        <v>0.01</v>
      </c>
      <c r="F41" s="35">
        <v>35011</v>
      </c>
      <c r="G41" s="35"/>
      <c r="H41" s="35">
        <v>35011</v>
      </c>
      <c r="I41" s="35" t="s">
        <v>136</v>
      </c>
      <c r="J41" s="35">
        <v>1047</v>
      </c>
      <c r="K41" s="35"/>
      <c r="L41" s="35">
        <v>1047</v>
      </c>
      <c r="M41" s="35"/>
      <c r="N41" s="37"/>
      <c r="O41" s="37"/>
      <c r="P41" s="37">
        <f>1047</f>
        <v>1047</v>
      </c>
      <c r="Q41" s="38"/>
      <c r="R41" s="38"/>
      <c r="S41" s="38"/>
      <c r="T41" s="38"/>
      <c r="U41" s="38"/>
    </row>
    <row r="42" spans="1:21" ht="89.25">
      <c r="A42" s="35">
        <v>23</v>
      </c>
      <c r="B42" s="35" t="s">
        <v>148</v>
      </c>
      <c r="C42" s="36" t="s">
        <v>149</v>
      </c>
      <c r="D42" s="35" t="s">
        <v>117</v>
      </c>
      <c r="E42" s="35">
        <v>0.8515</v>
      </c>
      <c r="F42" s="35" t="s">
        <v>150</v>
      </c>
      <c r="G42" s="35">
        <v>476.32</v>
      </c>
      <c r="H42" s="35">
        <v>1135.42</v>
      </c>
      <c r="I42" s="35" t="s">
        <v>151</v>
      </c>
      <c r="J42" s="35" t="s">
        <v>152</v>
      </c>
      <c r="K42" s="35">
        <v>1748</v>
      </c>
      <c r="L42" s="35">
        <v>2117</v>
      </c>
      <c r="M42" s="35">
        <f>2726</f>
        <v>2726</v>
      </c>
      <c r="N42" s="37" t="s">
        <v>1078</v>
      </c>
      <c r="O42" s="37" t="s">
        <v>153</v>
      </c>
      <c r="P42" s="37">
        <f>6591+2050+1854</f>
        <v>10495</v>
      </c>
      <c r="Q42" s="38"/>
      <c r="R42" s="38"/>
      <c r="S42" s="38"/>
      <c r="T42" s="38"/>
      <c r="U42" s="38"/>
    </row>
    <row r="43" spans="1:21" ht="89.25">
      <c r="A43" s="35">
        <v>24</v>
      </c>
      <c r="B43" s="35" t="s">
        <v>154</v>
      </c>
      <c r="C43" s="36" t="s">
        <v>155</v>
      </c>
      <c r="D43" s="35" t="s">
        <v>156</v>
      </c>
      <c r="E43" s="35">
        <v>0.8515</v>
      </c>
      <c r="F43" s="35" t="s">
        <v>157</v>
      </c>
      <c r="G43" s="35" t="s">
        <v>158</v>
      </c>
      <c r="H43" s="35">
        <v>999.5</v>
      </c>
      <c r="I43" s="35" t="s">
        <v>159</v>
      </c>
      <c r="J43" s="35" t="s">
        <v>160</v>
      </c>
      <c r="K43" s="35" t="s">
        <v>161</v>
      </c>
      <c r="L43" s="35">
        <v>1872</v>
      </c>
      <c r="M43" s="35">
        <f>1194+2</f>
        <v>1196</v>
      </c>
      <c r="N43" s="37" t="s">
        <v>162</v>
      </c>
      <c r="O43" s="37" t="s">
        <v>163</v>
      </c>
      <c r="P43" s="37">
        <f>3117+1062+559</f>
        <v>4738</v>
      </c>
      <c r="Q43" s="38"/>
      <c r="R43" s="38"/>
      <c r="S43" s="38"/>
      <c r="T43" s="38"/>
      <c r="U43" s="38"/>
    </row>
    <row r="44" spans="1:21" ht="102">
      <c r="A44" s="35">
        <v>25</v>
      </c>
      <c r="B44" s="35" t="s">
        <v>164</v>
      </c>
      <c r="C44" s="36" t="s">
        <v>165</v>
      </c>
      <c r="D44" s="35" t="s">
        <v>8</v>
      </c>
      <c r="E44" s="35">
        <v>0.8515</v>
      </c>
      <c r="F44" s="35" t="s">
        <v>166</v>
      </c>
      <c r="G44" s="35" t="s">
        <v>167</v>
      </c>
      <c r="H44" s="35">
        <v>6534.83</v>
      </c>
      <c r="I44" s="35" t="s">
        <v>168</v>
      </c>
      <c r="J44" s="35" t="s">
        <v>169</v>
      </c>
      <c r="K44" s="35" t="s">
        <v>170</v>
      </c>
      <c r="L44" s="35">
        <v>16916</v>
      </c>
      <c r="M44" s="35">
        <f>2715+40</f>
        <v>2755</v>
      </c>
      <c r="N44" s="37" t="s">
        <v>22</v>
      </c>
      <c r="O44" s="37" t="s">
        <v>171</v>
      </c>
      <c r="P44" s="37">
        <f>19878+2867+1756</f>
        <v>24501</v>
      </c>
      <c r="Q44" s="38"/>
      <c r="R44" s="38"/>
      <c r="S44" s="38"/>
      <c r="T44" s="38"/>
      <c r="U44" s="38"/>
    </row>
    <row r="45" spans="1:21" ht="89.25">
      <c r="A45" s="35">
        <v>26</v>
      </c>
      <c r="B45" s="35" t="s">
        <v>172</v>
      </c>
      <c r="C45" s="36" t="s">
        <v>175</v>
      </c>
      <c r="D45" s="35" t="s">
        <v>176</v>
      </c>
      <c r="E45" s="35">
        <v>-42.575</v>
      </c>
      <c r="F45" s="35">
        <v>8.36</v>
      </c>
      <c r="G45" s="35"/>
      <c r="H45" s="35">
        <v>8.36</v>
      </c>
      <c r="I45" s="35" t="s">
        <v>168</v>
      </c>
      <c r="J45" s="35">
        <v>-1082</v>
      </c>
      <c r="K45" s="35"/>
      <c r="L45" s="35">
        <v>-1082</v>
      </c>
      <c r="M45" s="35"/>
      <c r="N45" s="37"/>
      <c r="O45" s="37"/>
      <c r="P45" s="37">
        <f>-1082</f>
        <v>-1082</v>
      </c>
      <c r="Q45" s="38"/>
      <c r="R45" s="38"/>
      <c r="S45" s="38"/>
      <c r="T45" s="38"/>
      <c r="U45" s="38"/>
    </row>
    <row r="46" spans="1:21" ht="89.25">
      <c r="A46" s="35">
        <v>27</v>
      </c>
      <c r="B46" s="35" t="s">
        <v>177</v>
      </c>
      <c r="C46" s="36" t="s">
        <v>178</v>
      </c>
      <c r="D46" s="35" t="s">
        <v>145</v>
      </c>
      <c r="E46" s="35">
        <v>0.042575</v>
      </c>
      <c r="F46" s="35">
        <v>24553</v>
      </c>
      <c r="G46" s="35"/>
      <c r="H46" s="35">
        <v>24553</v>
      </c>
      <c r="I46" s="35" t="s">
        <v>168</v>
      </c>
      <c r="J46" s="35">
        <v>3178</v>
      </c>
      <c r="K46" s="35"/>
      <c r="L46" s="35">
        <v>3178</v>
      </c>
      <c r="M46" s="35"/>
      <c r="N46" s="37"/>
      <c r="O46" s="37"/>
      <c r="P46" s="37">
        <f>3178</f>
        <v>3178</v>
      </c>
      <c r="Q46" s="38"/>
      <c r="R46" s="38"/>
      <c r="S46" s="38"/>
      <c r="T46" s="38"/>
      <c r="U46" s="38"/>
    </row>
    <row r="47" spans="1:21" ht="127.5">
      <c r="A47" s="35">
        <v>28</v>
      </c>
      <c r="B47" s="35" t="s">
        <v>179</v>
      </c>
      <c r="C47" s="36" t="s">
        <v>180</v>
      </c>
      <c r="D47" s="35" t="s">
        <v>1074</v>
      </c>
      <c r="E47" s="35">
        <v>0.943</v>
      </c>
      <c r="F47" s="35" t="s">
        <v>181</v>
      </c>
      <c r="G47" s="35">
        <v>2.26</v>
      </c>
      <c r="H47" s="35">
        <v>548.63</v>
      </c>
      <c r="I47" s="35" t="s">
        <v>182</v>
      </c>
      <c r="J47" s="35" t="s">
        <v>183</v>
      </c>
      <c r="K47" s="35">
        <v>13</v>
      </c>
      <c r="L47" s="35">
        <v>1459</v>
      </c>
      <c r="M47" s="35">
        <f>750</f>
        <v>750</v>
      </c>
      <c r="N47" s="37" t="s">
        <v>22</v>
      </c>
      <c r="O47" s="37" t="s">
        <v>184</v>
      </c>
      <c r="P47" s="37">
        <f>2222+780+478</f>
        <v>3480</v>
      </c>
      <c r="Q47" s="38"/>
      <c r="R47" s="38"/>
      <c r="S47" s="38"/>
      <c r="T47" s="38"/>
      <c r="U47" s="38"/>
    </row>
    <row r="48" spans="1:21" ht="12.75">
      <c r="A48" s="51" t="s">
        <v>185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38"/>
      <c r="R48" s="38"/>
      <c r="S48" s="38"/>
      <c r="T48" s="38"/>
      <c r="U48" s="38"/>
    </row>
    <row r="49" spans="1:21" ht="76.5">
      <c r="A49" s="35">
        <v>29</v>
      </c>
      <c r="B49" s="35" t="s">
        <v>186</v>
      </c>
      <c r="C49" s="36" t="s">
        <v>187</v>
      </c>
      <c r="D49" s="35" t="s">
        <v>188</v>
      </c>
      <c r="E49" s="35">
        <v>5.24</v>
      </c>
      <c r="F49" s="35" t="s">
        <v>189</v>
      </c>
      <c r="G49" s="35" t="s">
        <v>190</v>
      </c>
      <c r="H49" s="35"/>
      <c r="I49" s="35" t="s">
        <v>191</v>
      </c>
      <c r="J49" s="35" t="s">
        <v>192</v>
      </c>
      <c r="K49" s="35" t="s">
        <v>193</v>
      </c>
      <c r="L49" s="35"/>
      <c r="M49" s="35">
        <f>3011+477</f>
        <v>3488</v>
      </c>
      <c r="N49" s="37" t="s">
        <v>14</v>
      </c>
      <c r="O49" s="37" t="s">
        <v>194</v>
      </c>
      <c r="P49" s="37">
        <f>6476+3246+2075</f>
        <v>11797</v>
      </c>
      <c r="Q49" s="38"/>
      <c r="R49" s="38"/>
      <c r="S49" s="38"/>
      <c r="T49" s="38"/>
      <c r="U49" s="38"/>
    </row>
    <row r="50" spans="1:21" ht="63.75">
      <c r="A50" s="35">
        <v>30</v>
      </c>
      <c r="B50" s="35" t="s">
        <v>195</v>
      </c>
      <c r="C50" s="36" t="s">
        <v>196</v>
      </c>
      <c r="D50" s="35" t="s">
        <v>197</v>
      </c>
      <c r="E50" s="35">
        <v>2.924</v>
      </c>
      <c r="F50" s="35" t="s">
        <v>198</v>
      </c>
      <c r="G50" s="35"/>
      <c r="H50" s="35"/>
      <c r="I50" s="35" t="s">
        <v>199</v>
      </c>
      <c r="J50" s="35" t="s">
        <v>200</v>
      </c>
      <c r="K50" s="35"/>
      <c r="L50" s="35"/>
      <c r="M50" s="35">
        <f>2028</f>
        <v>2028</v>
      </c>
      <c r="N50" s="37" t="s">
        <v>201</v>
      </c>
      <c r="O50" s="37" t="s">
        <v>202</v>
      </c>
      <c r="P50" s="37">
        <f>2028+1468+1014</f>
        <v>4510</v>
      </c>
      <c r="Q50" s="38"/>
      <c r="R50" s="38"/>
      <c r="S50" s="38"/>
      <c r="T50" s="38"/>
      <c r="U50" s="38"/>
    </row>
    <row r="51" spans="1:21" ht="63.75">
      <c r="A51" s="35">
        <v>31</v>
      </c>
      <c r="B51" s="35" t="s">
        <v>203</v>
      </c>
      <c r="C51" s="36" t="s">
        <v>204</v>
      </c>
      <c r="D51" s="35" t="s">
        <v>205</v>
      </c>
      <c r="E51" s="35">
        <v>0.493</v>
      </c>
      <c r="F51" s="35" t="s">
        <v>206</v>
      </c>
      <c r="G51" s="35"/>
      <c r="H51" s="35"/>
      <c r="I51" s="35" t="s">
        <v>207</v>
      </c>
      <c r="J51" s="35" t="s">
        <v>208</v>
      </c>
      <c r="K51" s="35"/>
      <c r="L51" s="35"/>
      <c r="M51" s="35">
        <f>691</f>
        <v>691</v>
      </c>
      <c r="N51" s="37" t="s">
        <v>14</v>
      </c>
      <c r="O51" s="37" t="s">
        <v>209</v>
      </c>
      <c r="P51" s="37">
        <f>691+643+411</f>
        <v>1745</v>
      </c>
      <c r="Q51" s="38"/>
      <c r="R51" s="38"/>
      <c r="S51" s="38"/>
      <c r="T51" s="38"/>
      <c r="U51" s="38"/>
    </row>
    <row r="52" spans="1:21" ht="89.25">
      <c r="A52" s="35">
        <v>32</v>
      </c>
      <c r="B52" s="35" t="s">
        <v>210</v>
      </c>
      <c r="C52" s="36" t="s">
        <v>211</v>
      </c>
      <c r="D52" s="35" t="s">
        <v>212</v>
      </c>
      <c r="E52" s="35">
        <v>0.493</v>
      </c>
      <c r="F52" s="35" t="s">
        <v>213</v>
      </c>
      <c r="G52" s="35" t="s">
        <v>214</v>
      </c>
      <c r="H52" s="35">
        <v>826.68</v>
      </c>
      <c r="I52" s="35" t="s">
        <v>215</v>
      </c>
      <c r="J52" s="35" t="s">
        <v>216</v>
      </c>
      <c r="K52" s="35" t="s">
        <v>217</v>
      </c>
      <c r="L52" s="35">
        <v>697</v>
      </c>
      <c r="M52" s="35">
        <f>608+1</f>
        <v>609</v>
      </c>
      <c r="N52" s="37" t="s">
        <v>162</v>
      </c>
      <c r="O52" s="37" t="s">
        <v>218</v>
      </c>
      <c r="P52" s="37">
        <f>1324+541+285</f>
        <v>2150</v>
      </c>
      <c r="Q52" s="38"/>
      <c r="R52" s="38"/>
      <c r="S52" s="38"/>
      <c r="T52" s="38"/>
      <c r="U52" s="38"/>
    </row>
    <row r="53" spans="1:21" ht="114.75">
      <c r="A53" s="35">
        <v>33</v>
      </c>
      <c r="B53" s="35" t="s">
        <v>219</v>
      </c>
      <c r="C53" s="36" t="s">
        <v>220</v>
      </c>
      <c r="D53" s="35" t="s">
        <v>212</v>
      </c>
      <c r="E53" s="35">
        <v>0.493</v>
      </c>
      <c r="F53" s="35" t="s">
        <v>221</v>
      </c>
      <c r="G53" s="35" t="s">
        <v>222</v>
      </c>
      <c r="H53" s="35">
        <v>648.27</v>
      </c>
      <c r="I53" s="35" t="s">
        <v>223</v>
      </c>
      <c r="J53" s="35" t="s">
        <v>224</v>
      </c>
      <c r="K53" s="35" t="s">
        <v>225</v>
      </c>
      <c r="L53" s="35">
        <v>665</v>
      </c>
      <c r="M53" s="35">
        <f>825+1</f>
        <v>826</v>
      </c>
      <c r="N53" s="37" t="s">
        <v>162</v>
      </c>
      <c r="O53" s="37" t="s">
        <v>226</v>
      </c>
      <c r="P53" s="37">
        <f>1502+734+386</f>
        <v>2622</v>
      </c>
      <c r="Q53" s="38"/>
      <c r="R53" s="38"/>
      <c r="S53" s="38"/>
      <c r="T53" s="38"/>
      <c r="U53" s="38"/>
    </row>
    <row r="54" spans="1:21" ht="89.25">
      <c r="A54" s="35">
        <v>34</v>
      </c>
      <c r="B54" s="35" t="s">
        <v>227</v>
      </c>
      <c r="C54" s="36" t="s">
        <v>228</v>
      </c>
      <c r="D54" s="35" t="s">
        <v>229</v>
      </c>
      <c r="E54" s="35">
        <v>0.532</v>
      </c>
      <c r="F54" s="35" t="s">
        <v>230</v>
      </c>
      <c r="G54" s="35" t="s">
        <v>231</v>
      </c>
      <c r="H54" s="35">
        <v>1140.23</v>
      </c>
      <c r="I54" s="35" t="s">
        <v>232</v>
      </c>
      <c r="J54" s="35" t="s">
        <v>233</v>
      </c>
      <c r="K54" s="35" t="s">
        <v>234</v>
      </c>
      <c r="L54" s="35">
        <v>1983</v>
      </c>
      <c r="M54" s="35">
        <f>8471+38</f>
        <v>8509</v>
      </c>
      <c r="N54" s="37" t="s">
        <v>235</v>
      </c>
      <c r="O54" s="37" t="s">
        <v>236</v>
      </c>
      <c r="P54" s="37">
        <f>10497+6319+4255</f>
        <v>21071</v>
      </c>
      <c r="Q54" s="38"/>
      <c r="R54" s="38"/>
      <c r="S54" s="38"/>
      <c r="T54" s="38"/>
      <c r="U54" s="38"/>
    </row>
    <row r="55" spans="1:21" ht="89.25">
      <c r="A55" s="35">
        <v>35</v>
      </c>
      <c r="B55" s="35" t="s">
        <v>237</v>
      </c>
      <c r="C55" s="36" t="s">
        <v>238</v>
      </c>
      <c r="D55" s="35" t="s">
        <v>205</v>
      </c>
      <c r="E55" s="35">
        <v>1.064</v>
      </c>
      <c r="F55" s="35" t="s">
        <v>239</v>
      </c>
      <c r="G55" s="35" t="s">
        <v>240</v>
      </c>
      <c r="H55" s="35">
        <v>569.69</v>
      </c>
      <c r="I55" s="35" t="s">
        <v>241</v>
      </c>
      <c r="J55" s="35" t="s">
        <v>242</v>
      </c>
      <c r="K55" s="35" t="s">
        <v>234</v>
      </c>
      <c r="L55" s="35">
        <v>1982</v>
      </c>
      <c r="M55" s="35">
        <f>4352+38</f>
        <v>4390</v>
      </c>
      <c r="N55" s="37" t="s">
        <v>235</v>
      </c>
      <c r="O55" s="37" t="s">
        <v>243</v>
      </c>
      <c r="P55" s="37">
        <f>6377+3260+2195</f>
        <v>11832</v>
      </c>
      <c r="Q55" s="38"/>
      <c r="R55" s="38"/>
      <c r="S55" s="38"/>
      <c r="T55" s="38"/>
      <c r="U55" s="38"/>
    </row>
    <row r="56" spans="1:21" ht="76.5">
      <c r="A56" s="35">
        <v>36</v>
      </c>
      <c r="B56" s="35" t="s">
        <v>244</v>
      </c>
      <c r="C56" s="36" t="s">
        <v>245</v>
      </c>
      <c r="D56" s="35" t="s">
        <v>246</v>
      </c>
      <c r="E56" s="35">
        <v>0.154</v>
      </c>
      <c r="F56" s="35" t="s">
        <v>247</v>
      </c>
      <c r="G56" s="35" t="s">
        <v>248</v>
      </c>
      <c r="H56" s="35"/>
      <c r="I56" s="35" t="s">
        <v>249</v>
      </c>
      <c r="J56" s="35" t="s">
        <v>250</v>
      </c>
      <c r="K56" s="35" t="s">
        <v>251</v>
      </c>
      <c r="L56" s="35"/>
      <c r="M56" s="35">
        <f>709+26</f>
        <v>735</v>
      </c>
      <c r="N56" s="37" t="s">
        <v>201</v>
      </c>
      <c r="O56" s="37" t="s">
        <v>252</v>
      </c>
      <c r="P56" s="37">
        <f>862+532+368</f>
        <v>1762</v>
      </c>
      <c r="Q56" s="38"/>
      <c r="R56" s="38"/>
      <c r="S56" s="38"/>
      <c r="T56" s="38"/>
      <c r="U56" s="38"/>
    </row>
    <row r="57" spans="1:21" ht="63.75">
      <c r="A57" s="35">
        <v>37</v>
      </c>
      <c r="B57" s="35" t="s">
        <v>203</v>
      </c>
      <c r="C57" s="36" t="s">
        <v>253</v>
      </c>
      <c r="D57" s="35" t="s">
        <v>205</v>
      </c>
      <c r="E57" s="35">
        <v>0.1027</v>
      </c>
      <c r="F57" s="35" t="s">
        <v>206</v>
      </c>
      <c r="G57" s="35"/>
      <c r="H57" s="35"/>
      <c r="I57" s="35" t="s">
        <v>207</v>
      </c>
      <c r="J57" s="35" t="s">
        <v>254</v>
      </c>
      <c r="K57" s="35"/>
      <c r="L57" s="35"/>
      <c r="M57" s="35">
        <f>144</f>
        <v>144</v>
      </c>
      <c r="N57" s="37" t="s">
        <v>14</v>
      </c>
      <c r="O57" s="37" t="s">
        <v>255</v>
      </c>
      <c r="P57" s="37">
        <f>144+134+86</f>
        <v>364</v>
      </c>
      <c r="Q57" s="38"/>
      <c r="R57" s="38"/>
      <c r="S57" s="38"/>
      <c r="T57" s="38"/>
      <c r="U57" s="38"/>
    </row>
    <row r="58" spans="1:21" ht="89.25">
      <c r="A58" s="35">
        <v>38</v>
      </c>
      <c r="B58" s="35" t="s">
        <v>256</v>
      </c>
      <c r="C58" s="36" t="s">
        <v>257</v>
      </c>
      <c r="D58" s="35" t="s">
        <v>188</v>
      </c>
      <c r="E58" s="35">
        <v>2.4</v>
      </c>
      <c r="F58" s="35" t="s">
        <v>258</v>
      </c>
      <c r="G58" s="35">
        <v>2.13</v>
      </c>
      <c r="H58" s="35">
        <v>825.79</v>
      </c>
      <c r="I58" s="35" t="s">
        <v>259</v>
      </c>
      <c r="J58" s="35" t="s">
        <v>260</v>
      </c>
      <c r="K58" s="35">
        <v>21</v>
      </c>
      <c r="L58" s="35">
        <v>5768</v>
      </c>
      <c r="M58" s="35">
        <f>2255</f>
        <v>2255</v>
      </c>
      <c r="N58" s="37" t="s">
        <v>14</v>
      </c>
      <c r="O58" s="37" t="s">
        <v>261</v>
      </c>
      <c r="P58" s="37">
        <f>8044+2099+1342</f>
        <v>11485</v>
      </c>
      <c r="Q58" s="38"/>
      <c r="R58" s="38"/>
      <c r="S58" s="38"/>
      <c r="T58" s="38"/>
      <c r="U58" s="38"/>
    </row>
    <row r="59" spans="1:21" ht="89.25">
      <c r="A59" s="35">
        <v>39</v>
      </c>
      <c r="B59" s="35" t="s">
        <v>262</v>
      </c>
      <c r="C59" s="36" t="s">
        <v>263</v>
      </c>
      <c r="D59" s="35" t="s">
        <v>26</v>
      </c>
      <c r="E59" s="35">
        <v>0.44</v>
      </c>
      <c r="F59" s="35" t="s">
        <v>264</v>
      </c>
      <c r="G59" s="35">
        <v>40.8</v>
      </c>
      <c r="H59" s="35">
        <v>1220.37</v>
      </c>
      <c r="I59" s="35" t="s">
        <v>265</v>
      </c>
      <c r="J59" s="35" t="s">
        <v>266</v>
      </c>
      <c r="K59" s="35">
        <v>86</v>
      </c>
      <c r="L59" s="35">
        <v>1352</v>
      </c>
      <c r="M59" s="35">
        <f>615</f>
        <v>615</v>
      </c>
      <c r="N59" s="37" t="s">
        <v>113</v>
      </c>
      <c r="O59" s="37" t="s">
        <v>267</v>
      </c>
      <c r="P59" s="37">
        <f>2053+520+366</f>
        <v>2939</v>
      </c>
      <c r="Q59" s="38"/>
      <c r="R59" s="38"/>
      <c r="S59" s="38"/>
      <c r="T59" s="38"/>
      <c r="U59" s="38"/>
    </row>
    <row r="60" spans="1:21" ht="76.5">
      <c r="A60" s="35">
        <v>40</v>
      </c>
      <c r="B60" s="35" t="s">
        <v>268</v>
      </c>
      <c r="C60" s="36" t="s">
        <v>269</v>
      </c>
      <c r="D60" s="35" t="s">
        <v>188</v>
      </c>
      <c r="E60" s="35">
        <v>0.87</v>
      </c>
      <c r="F60" s="35" t="s">
        <v>270</v>
      </c>
      <c r="G60" s="35" t="s">
        <v>271</v>
      </c>
      <c r="H60" s="35"/>
      <c r="I60" s="35" t="s">
        <v>272</v>
      </c>
      <c r="J60" s="35" t="s">
        <v>273</v>
      </c>
      <c r="K60" s="35" t="s">
        <v>274</v>
      </c>
      <c r="L60" s="35"/>
      <c r="M60" s="35">
        <f>755+175</f>
        <v>930</v>
      </c>
      <c r="N60" s="37" t="s">
        <v>14</v>
      </c>
      <c r="O60" s="37" t="s">
        <v>275</v>
      </c>
      <c r="P60" s="37">
        <f>2026+865+553</f>
        <v>3444</v>
      </c>
      <c r="Q60" s="38"/>
      <c r="R60" s="38"/>
      <c r="S60" s="38"/>
      <c r="T60" s="38"/>
      <c r="U60" s="38"/>
    </row>
    <row r="61" spans="1:21" ht="89.25">
      <c r="A61" s="35">
        <v>41</v>
      </c>
      <c r="B61" s="35" t="s">
        <v>276</v>
      </c>
      <c r="C61" s="36" t="s">
        <v>277</v>
      </c>
      <c r="D61" s="35" t="s">
        <v>278</v>
      </c>
      <c r="E61" s="35">
        <v>0.0552</v>
      </c>
      <c r="F61" s="35" t="s">
        <v>279</v>
      </c>
      <c r="G61" s="35" t="s">
        <v>280</v>
      </c>
      <c r="H61" s="35">
        <v>9817.61</v>
      </c>
      <c r="I61" s="35" t="s">
        <v>281</v>
      </c>
      <c r="J61" s="35" t="s">
        <v>282</v>
      </c>
      <c r="K61" s="35" t="s">
        <v>283</v>
      </c>
      <c r="L61" s="35">
        <v>2151</v>
      </c>
      <c r="M61" s="35">
        <f>623+2</f>
        <v>625</v>
      </c>
      <c r="N61" s="37" t="s">
        <v>284</v>
      </c>
      <c r="O61" s="37" t="s">
        <v>285</v>
      </c>
      <c r="P61" s="37">
        <f>2795+505+438</f>
        <v>3738</v>
      </c>
      <c r="Q61" s="38"/>
      <c r="R61" s="38"/>
      <c r="S61" s="38"/>
      <c r="T61" s="38"/>
      <c r="U61" s="38"/>
    </row>
    <row r="62" spans="1:21" ht="114.75">
      <c r="A62" s="35">
        <v>42</v>
      </c>
      <c r="B62" s="35" t="s">
        <v>286</v>
      </c>
      <c r="C62" s="36" t="s">
        <v>287</v>
      </c>
      <c r="D62" s="35" t="s">
        <v>288</v>
      </c>
      <c r="E62" s="35">
        <v>0.0066</v>
      </c>
      <c r="F62" s="35" t="s">
        <v>289</v>
      </c>
      <c r="G62" s="35" t="s">
        <v>290</v>
      </c>
      <c r="H62" s="35">
        <v>5047.41</v>
      </c>
      <c r="I62" s="35" t="s">
        <v>291</v>
      </c>
      <c r="J62" s="35" t="s">
        <v>292</v>
      </c>
      <c r="K62" s="35" t="s">
        <v>293</v>
      </c>
      <c r="L62" s="35">
        <v>119</v>
      </c>
      <c r="M62" s="35">
        <f>210+1</f>
        <v>211</v>
      </c>
      <c r="N62" s="37" t="s">
        <v>162</v>
      </c>
      <c r="O62" s="37" t="s">
        <v>294</v>
      </c>
      <c r="P62" s="37">
        <f>331+187+99</f>
        <v>617</v>
      </c>
      <c r="Q62" s="38"/>
      <c r="R62" s="38"/>
      <c r="S62" s="38"/>
      <c r="T62" s="38"/>
      <c r="U62" s="38"/>
    </row>
    <row r="63" spans="1:21" ht="140.25">
      <c r="A63" s="35">
        <v>43</v>
      </c>
      <c r="B63" s="35" t="s">
        <v>295</v>
      </c>
      <c r="C63" s="36" t="s">
        <v>296</v>
      </c>
      <c r="D63" s="35" t="s">
        <v>288</v>
      </c>
      <c r="E63" s="35">
        <v>0.06</v>
      </c>
      <c r="F63" s="35" t="s">
        <v>297</v>
      </c>
      <c r="G63" s="35" t="s">
        <v>298</v>
      </c>
      <c r="H63" s="35">
        <v>1130.38</v>
      </c>
      <c r="I63" s="35" t="s">
        <v>299</v>
      </c>
      <c r="J63" s="35" t="s">
        <v>300</v>
      </c>
      <c r="K63" s="35" t="s">
        <v>301</v>
      </c>
      <c r="L63" s="35">
        <v>229</v>
      </c>
      <c r="M63" s="35">
        <f>439+39</f>
        <v>478</v>
      </c>
      <c r="N63" s="37" t="s">
        <v>162</v>
      </c>
      <c r="O63" s="37" t="s">
        <v>302</v>
      </c>
      <c r="P63" s="37">
        <f>717+425+223</f>
        <v>1365</v>
      </c>
      <c r="Q63" s="38"/>
      <c r="R63" s="38"/>
      <c r="S63" s="38"/>
      <c r="T63" s="38"/>
      <c r="U63" s="38"/>
    </row>
    <row r="64" spans="1:21" ht="127.5">
      <c r="A64" s="35">
        <v>44</v>
      </c>
      <c r="B64" s="35" t="s">
        <v>303</v>
      </c>
      <c r="C64" s="36" t="s">
        <v>304</v>
      </c>
      <c r="D64" s="35" t="s">
        <v>288</v>
      </c>
      <c r="E64" s="35">
        <v>0.2304</v>
      </c>
      <c r="F64" s="35" t="s">
        <v>305</v>
      </c>
      <c r="G64" s="35" t="s">
        <v>306</v>
      </c>
      <c r="H64" s="35">
        <v>4768.29</v>
      </c>
      <c r="I64" s="35" t="s">
        <v>307</v>
      </c>
      <c r="J64" s="35" t="s">
        <v>308</v>
      </c>
      <c r="K64" s="35" t="s">
        <v>309</v>
      </c>
      <c r="L64" s="35">
        <v>3977</v>
      </c>
      <c r="M64" s="35">
        <f>2490+43</f>
        <v>2533</v>
      </c>
      <c r="N64" s="37" t="s">
        <v>162</v>
      </c>
      <c r="O64" s="37" t="s">
        <v>310</v>
      </c>
      <c r="P64" s="37">
        <f>6527+2250+1184</f>
        <v>9961</v>
      </c>
      <c r="Q64" s="38"/>
      <c r="R64" s="38"/>
      <c r="S64" s="38"/>
      <c r="T64" s="38"/>
      <c r="U64" s="38"/>
    </row>
    <row r="65" spans="1:21" ht="89.25">
      <c r="A65" s="35">
        <v>45</v>
      </c>
      <c r="B65" s="35" t="s">
        <v>237</v>
      </c>
      <c r="C65" s="36" t="s">
        <v>311</v>
      </c>
      <c r="D65" s="35" t="s">
        <v>205</v>
      </c>
      <c r="E65" s="35">
        <v>0.2304</v>
      </c>
      <c r="F65" s="35" t="s">
        <v>239</v>
      </c>
      <c r="G65" s="35" t="s">
        <v>240</v>
      </c>
      <c r="H65" s="35">
        <v>569.69</v>
      </c>
      <c r="I65" s="35" t="s">
        <v>241</v>
      </c>
      <c r="J65" s="35" t="s">
        <v>312</v>
      </c>
      <c r="K65" s="35" t="s">
        <v>313</v>
      </c>
      <c r="L65" s="35">
        <v>430</v>
      </c>
      <c r="M65" s="35">
        <f>942+8</f>
        <v>950</v>
      </c>
      <c r="N65" s="37" t="s">
        <v>235</v>
      </c>
      <c r="O65" s="37" t="s">
        <v>314</v>
      </c>
      <c r="P65" s="37">
        <f>1381+705+475</f>
        <v>2561</v>
      </c>
      <c r="Q65" s="38"/>
      <c r="R65" s="38"/>
      <c r="S65" s="38"/>
      <c r="T65" s="38"/>
      <c r="U65" s="38"/>
    </row>
    <row r="66" spans="1:21" ht="153">
      <c r="A66" s="35">
        <v>46</v>
      </c>
      <c r="B66" s="35" t="s">
        <v>315</v>
      </c>
      <c r="C66" s="36" t="s">
        <v>316</v>
      </c>
      <c r="D66" s="35" t="s">
        <v>246</v>
      </c>
      <c r="E66" s="35">
        <v>0.2304</v>
      </c>
      <c r="F66" s="35" t="s">
        <v>317</v>
      </c>
      <c r="G66" s="35" t="s">
        <v>318</v>
      </c>
      <c r="H66" s="35">
        <v>7886.51</v>
      </c>
      <c r="I66" s="35" t="s">
        <v>319</v>
      </c>
      <c r="J66" s="35" t="s">
        <v>320</v>
      </c>
      <c r="K66" s="35" t="s">
        <v>321</v>
      </c>
      <c r="L66" s="35">
        <v>5088</v>
      </c>
      <c r="M66" s="35">
        <f>4369+26</f>
        <v>4395</v>
      </c>
      <c r="N66" s="37" t="s">
        <v>162</v>
      </c>
      <c r="O66" s="37" t="s">
        <v>322</v>
      </c>
      <c r="P66" s="37">
        <f>9490+3904+2055</f>
        <v>15449</v>
      </c>
      <c r="Q66" s="38"/>
      <c r="R66" s="38"/>
      <c r="S66" s="38"/>
      <c r="T66" s="38"/>
      <c r="U66" s="38"/>
    </row>
    <row r="67" spans="1:21" ht="165.75">
      <c r="A67" s="35">
        <v>47</v>
      </c>
      <c r="B67" s="35" t="s">
        <v>323</v>
      </c>
      <c r="C67" s="36" t="s">
        <v>324</v>
      </c>
      <c r="D67" s="35" t="s">
        <v>325</v>
      </c>
      <c r="E67" s="35">
        <v>0.1705</v>
      </c>
      <c r="F67" s="35" t="s">
        <v>326</v>
      </c>
      <c r="G67" s="35" t="s">
        <v>327</v>
      </c>
      <c r="H67" s="35">
        <v>24236.14</v>
      </c>
      <c r="I67" s="35" t="s">
        <v>328</v>
      </c>
      <c r="J67" s="35" t="s">
        <v>329</v>
      </c>
      <c r="K67" s="35" t="s">
        <v>330</v>
      </c>
      <c r="L67" s="35">
        <v>10497</v>
      </c>
      <c r="M67" s="35">
        <f>4169+24</f>
        <v>4193</v>
      </c>
      <c r="N67" s="37" t="s">
        <v>331</v>
      </c>
      <c r="O67" s="37" t="s">
        <v>332</v>
      </c>
      <c r="P67" s="37">
        <f>15044+4186+2245</f>
        <v>21475</v>
      </c>
      <c r="Q67" s="38"/>
      <c r="R67" s="38"/>
      <c r="S67" s="38"/>
      <c r="T67" s="38"/>
      <c r="U67" s="38"/>
    </row>
    <row r="68" spans="1:21" ht="165.75">
      <c r="A68" s="35">
        <v>48</v>
      </c>
      <c r="B68" s="35" t="s">
        <v>333</v>
      </c>
      <c r="C68" s="36" t="s">
        <v>334</v>
      </c>
      <c r="D68" s="35" t="s">
        <v>325</v>
      </c>
      <c r="E68" s="35">
        <v>0.087</v>
      </c>
      <c r="F68" s="35" t="s">
        <v>335</v>
      </c>
      <c r="G68" s="35" t="s">
        <v>336</v>
      </c>
      <c r="H68" s="35">
        <v>11784.44</v>
      </c>
      <c r="I68" s="35" t="s">
        <v>337</v>
      </c>
      <c r="J68" s="35" t="s">
        <v>338</v>
      </c>
      <c r="K68" s="35" t="s">
        <v>339</v>
      </c>
      <c r="L68" s="35">
        <v>2470</v>
      </c>
      <c r="M68" s="35">
        <f>1333+6</f>
        <v>1339</v>
      </c>
      <c r="N68" s="37" t="s">
        <v>331</v>
      </c>
      <c r="O68" s="37" t="s">
        <v>340</v>
      </c>
      <c r="P68" s="37">
        <f>3904+1337+717</f>
        <v>5958</v>
      </c>
      <c r="Q68" s="38"/>
      <c r="R68" s="38"/>
      <c r="S68" s="38"/>
      <c r="T68" s="38"/>
      <c r="U68" s="38"/>
    </row>
    <row r="69" spans="1:21" ht="140.25">
      <c r="A69" s="35">
        <v>49</v>
      </c>
      <c r="B69" s="35" t="s">
        <v>341</v>
      </c>
      <c r="C69" s="36" t="s">
        <v>342</v>
      </c>
      <c r="D69" s="35" t="s">
        <v>343</v>
      </c>
      <c r="E69" s="35">
        <v>0.01</v>
      </c>
      <c r="F69" s="35" t="s">
        <v>344</v>
      </c>
      <c r="G69" s="35">
        <v>132.75</v>
      </c>
      <c r="H69" s="35">
        <v>3456.77</v>
      </c>
      <c r="I69" s="35" t="s">
        <v>345</v>
      </c>
      <c r="J69" s="35" t="s">
        <v>346</v>
      </c>
      <c r="K69" s="35">
        <v>7</v>
      </c>
      <c r="L69" s="35">
        <v>86</v>
      </c>
      <c r="M69" s="35">
        <f>64</f>
        <v>64</v>
      </c>
      <c r="N69" s="37" t="s">
        <v>331</v>
      </c>
      <c r="O69" s="37" t="s">
        <v>347</v>
      </c>
      <c r="P69" s="37">
        <f>157+64+34</f>
        <v>255</v>
      </c>
      <c r="Q69" s="38"/>
      <c r="R69" s="38"/>
      <c r="S69" s="38"/>
      <c r="T69" s="38"/>
      <c r="U69" s="38"/>
    </row>
    <row r="70" spans="1:21" ht="102">
      <c r="A70" s="35">
        <v>50</v>
      </c>
      <c r="B70" s="35" t="s">
        <v>348</v>
      </c>
      <c r="C70" s="36" t="s">
        <v>349</v>
      </c>
      <c r="D70" s="35" t="s">
        <v>350</v>
      </c>
      <c r="E70" s="35">
        <v>2.693</v>
      </c>
      <c r="F70" s="35" t="s">
        <v>351</v>
      </c>
      <c r="G70" s="35" t="s">
        <v>352</v>
      </c>
      <c r="H70" s="35">
        <v>11073.9</v>
      </c>
      <c r="I70" s="35" t="s">
        <v>353</v>
      </c>
      <c r="J70" s="35" t="s">
        <v>354</v>
      </c>
      <c r="K70" s="35" t="s">
        <v>355</v>
      </c>
      <c r="L70" s="35">
        <v>63521</v>
      </c>
      <c r="M70" s="35">
        <f>15281+439</f>
        <v>15720</v>
      </c>
      <c r="N70" s="37" t="s">
        <v>235</v>
      </c>
      <c r="O70" s="37" t="s">
        <v>356</v>
      </c>
      <c r="P70" s="37">
        <f>79191+11674+7860</f>
        <v>98725</v>
      </c>
      <c r="Q70" s="38"/>
      <c r="R70" s="38"/>
      <c r="S70" s="38"/>
      <c r="T70" s="38"/>
      <c r="U70" s="38"/>
    </row>
    <row r="71" spans="1:21" ht="114.75">
      <c r="A71" s="35">
        <v>51</v>
      </c>
      <c r="B71" s="35" t="s">
        <v>357</v>
      </c>
      <c r="C71" s="36" t="s">
        <v>358</v>
      </c>
      <c r="D71" s="35" t="s">
        <v>359</v>
      </c>
      <c r="E71" s="35">
        <v>3.034</v>
      </c>
      <c r="F71" s="35" t="s">
        <v>360</v>
      </c>
      <c r="G71" s="35" t="s">
        <v>361</v>
      </c>
      <c r="H71" s="35">
        <v>1173.24</v>
      </c>
      <c r="I71" s="35" t="s">
        <v>362</v>
      </c>
      <c r="J71" s="35" t="s">
        <v>363</v>
      </c>
      <c r="K71" s="35" t="s">
        <v>364</v>
      </c>
      <c r="L71" s="35">
        <v>8827</v>
      </c>
      <c r="M71" s="35">
        <f>15089+910</f>
        <v>15999</v>
      </c>
      <c r="N71" s="37" t="s">
        <v>365</v>
      </c>
      <c r="O71" s="37" t="s">
        <v>366</v>
      </c>
      <c r="P71" s="37">
        <f>25609+12182+9519</f>
        <v>47310</v>
      </c>
      <c r="Q71" s="38"/>
      <c r="R71" s="38"/>
      <c r="S71" s="38"/>
      <c r="T71" s="38"/>
      <c r="U71" s="38"/>
    </row>
    <row r="72" spans="1:21" ht="102">
      <c r="A72" s="35">
        <v>52</v>
      </c>
      <c r="B72" s="35" t="s">
        <v>367</v>
      </c>
      <c r="C72" s="36" t="s">
        <v>368</v>
      </c>
      <c r="D72" s="35" t="s">
        <v>369</v>
      </c>
      <c r="E72" s="35">
        <v>3.034</v>
      </c>
      <c r="F72" s="35" t="s">
        <v>370</v>
      </c>
      <c r="G72" s="35" t="s">
        <v>371</v>
      </c>
      <c r="H72" s="35">
        <v>3165.61</v>
      </c>
      <c r="I72" s="35" t="s">
        <v>372</v>
      </c>
      <c r="J72" s="35" t="s">
        <v>373</v>
      </c>
      <c r="K72" s="35" t="s">
        <v>374</v>
      </c>
      <c r="L72" s="35">
        <v>22955</v>
      </c>
      <c r="M72" s="35">
        <f>11706+4</f>
        <v>11710</v>
      </c>
      <c r="N72" s="37" t="s">
        <v>162</v>
      </c>
      <c r="O72" s="37" t="s">
        <v>375</v>
      </c>
      <c r="P72" s="37">
        <f>34680+10402+5474</f>
        <v>50556</v>
      </c>
      <c r="Q72" s="38"/>
      <c r="R72" s="38"/>
      <c r="S72" s="38"/>
      <c r="T72" s="38"/>
      <c r="U72" s="38"/>
    </row>
    <row r="73" spans="1:21" ht="127.5">
      <c r="A73" s="35">
        <v>53</v>
      </c>
      <c r="B73" s="35" t="s">
        <v>376</v>
      </c>
      <c r="C73" s="36" t="s">
        <v>377</v>
      </c>
      <c r="D73" s="35" t="s">
        <v>212</v>
      </c>
      <c r="E73" s="35">
        <v>3.456</v>
      </c>
      <c r="F73" s="35" t="s">
        <v>378</v>
      </c>
      <c r="G73" s="35" t="s">
        <v>379</v>
      </c>
      <c r="H73" s="35">
        <v>997.39</v>
      </c>
      <c r="I73" s="35" t="s">
        <v>380</v>
      </c>
      <c r="J73" s="35" t="s">
        <v>381</v>
      </c>
      <c r="K73" s="35" t="s">
        <v>382</v>
      </c>
      <c r="L73" s="35">
        <v>5895</v>
      </c>
      <c r="M73" s="35">
        <f>7129+5</f>
        <v>7134</v>
      </c>
      <c r="N73" s="37" t="s">
        <v>162</v>
      </c>
      <c r="O73" s="37" t="s">
        <v>383</v>
      </c>
      <c r="P73" s="37">
        <f>13193+6337+3335</f>
        <v>22865</v>
      </c>
      <c r="Q73" s="38"/>
      <c r="R73" s="38"/>
      <c r="S73" s="38"/>
      <c r="T73" s="38"/>
      <c r="U73" s="38"/>
    </row>
    <row r="74" spans="1:21" ht="12.75">
      <c r="A74" s="51" t="s">
        <v>384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38"/>
      <c r="R74" s="38"/>
      <c r="S74" s="38"/>
      <c r="T74" s="38"/>
      <c r="U74" s="38"/>
    </row>
    <row r="75" spans="1:21" ht="89.25">
      <c r="A75" s="35">
        <v>54</v>
      </c>
      <c r="B75" s="35" t="s">
        <v>385</v>
      </c>
      <c r="C75" s="36" t="s">
        <v>386</v>
      </c>
      <c r="D75" s="35" t="s">
        <v>229</v>
      </c>
      <c r="E75" s="35">
        <v>0.127</v>
      </c>
      <c r="F75" s="35" t="s">
        <v>387</v>
      </c>
      <c r="G75" s="35" t="s">
        <v>388</v>
      </c>
      <c r="H75" s="35">
        <v>1197.2</v>
      </c>
      <c r="I75" s="35" t="s">
        <v>389</v>
      </c>
      <c r="J75" s="35" t="s">
        <v>390</v>
      </c>
      <c r="K75" s="35" t="s">
        <v>391</v>
      </c>
      <c r="L75" s="35">
        <v>498</v>
      </c>
      <c r="M75" s="35">
        <f>2602+10</f>
        <v>2612</v>
      </c>
      <c r="N75" s="37" t="s">
        <v>235</v>
      </c>
      <c r="O75" s="37" t="s">
        <v>392</v>
      </c>
      <c r="P75" s="37">
        <f>3111+1940+1306</f>
        <v>6357</v>
      </c>
      <c r="Q75" s="38"/>
      <c r="R75" s="38"/>
      <c r="S75" s="38"/>
      <c r="T75" s="38"/>
      <c r="U75" s="38"/>
    </row>
    <row r="76" spans="1:21" ht="102">
      <c r="A76" s="35">
        <v>55</v>
      </c>
      <c r="B76" s="35" t="s">
        <v>393</v>
      </c>
      <c r="C76" s="36" t="s">
        <v>394</v>
      </c>
      <c r="D76" s="35" t="s">
        <v>212</v>
      </c>
      <c r="E76" s="35">
        <v>0.127</v>
      </c>
      <c r="F76" s="35" t="s">
        <v>395</v>
      </c>
      <c r="G76" s="35" t="s">
        <v>396</v>
      </c>
      <c r="H76" s="35">
        <v>906.26</v>
      </c>
      <c r="I76" s="35" t="s">
        <v>397</v>
      </c>
      <c r="J76" s="35" t="s">
        <v>398</v>
      </c>
      <c r="K76" s="35">
        <v>6</v>
      </c>
      <c r="L76" s="35">
        <v>196</v>
      </c>
      <c r="M76" s="35">
        <f>175</f>
        <v>175</v>
      </c>
      <c r="N76" s="37" t="s">
        <v>162</v>
      </c>
      <c r="O76" s="37" t="s">
        <v>399</v>
      </c>
      <c r="P76" s="37">
        <f>377+155+82</f>
        <v>614</v>
      </c>
      <c r="Q76" s="38"/>
      <c r="R76" s="38"/>
      <c r="S76" s="38"/>
      <c r="T76" s="38"/>
      <c r="U76" s="38"/>
    </row>
    <row r="77" spans="1:21" ht="153">
      <c r="A77" s="35">
        <v>56</v>
      </c>
      <c r="B77" s="35" t="s">
        <v>400</v>
      </c>
      <c r="C77" s="36" t="s">
        <v>401</v>
      </c>
      <c r="D77" s="35" t="s">
        <v>212</v>
      </c>
      <c r="E77" s="35">
        <v>0.127</v>
      </c>
      <c r="F77" s="35" t="s">
        <v>402</v>
      </c>
      <c r="G77" s="35" t="s">
        <v>222</v>
      </c>
      <c r="H77" s="35">
        <v>944.07</v>
      </c>
      <c r="I77" s="35" t="s">
        <v>403</v>
      </c>
      <c r="J77" s="35" t="s">
        <v>404</v>
      </c>
      <c r="K77" s="35">
        <v>3</v>
      </c>
      <c r="L77" s="35">
        <v>244</v>
      </c>
      <c r="M77" s="35">
        <f>230</f>
        <v>230</v>
      </c>
      <c r="N77" s="37" t="s">
        <v>162</v>
      </c>
      <c r="O77" s="37" t="s">
        <v>405</v>
      </c>
      <c r="P77" s="37">
        <f>477+204+108</f>
        <v>789</v>
      </c>
      <c r="Q77" s="38"/>
      <c r="R77" s="38"/>
      <c r="S77" s="38"/>
      <c r="T77" s="38"/>
      <c r="U77" s="38"/>
    </row>
    <row r="78" spans="1:21" ht="102">
      <c r="A78" s="35">
        <v>57</v>
      </c>
      <c r="B78" s="35" t="s">
        <v>406</v>
      </c>
      <c r="C78" s="36" t="s">
        <v>407</v>
      </c>
      <c r="D78" s="35" t="s">
        <v>350</v>
      </c>
      <c r="E78" s="35">
        <v>0.032</v>
      </c>
      <c r="F78" s="35" t="s">
        <v>408</v>
      </c>
      <c r="G78" s="35" t="s">
        <v>409</v>
      </c>
      <c r="H78" s="35">
        <v>12912.03</v>
      </c>
      <c r="I78" s="35" t="s">
        <v>410</v>
      </c>
      <c r="J78" s="35" t="s">
        <v>411</v>
      </c>
      <c r="K78" s="35" t="s">
        <v>412</v>
      </c>
      <c r="L78" s="35">
        <v>880</v>
      </c>
      <c r="M78" s="35">
        <f>231+6</f>
        <v>237</v>
      </c>
      <c r="N78" s="37" t="s">
        <v>235</v>
      </c>
      <c r="O78" s="37" t="s">
        <v>413</v>
      </c>
      <c r="P78" s="37">
        <f>1116+176+119</f>
        <v>1411</v>
      </c>
      <c r="Q78" s="38"/>
      <c r="R78" s="38"/>
      <c r="S78" s="38"/>
      <c r="T78" s="38"/>
      <c r="U78" s="38"/>
    </row>
    <row r="79" spans="1:21" ht="127.5">
      <c r="A79" s="35">
        <v>58</v>
      </c>
      <c r="B79" s="35" t="s">
        <v>414</v>
      </c>
      <c r="C79" s="36" t="s">
        <v>415</v>
      </c>
      <c r="D79" s="35" t="s">
        <v>212</v>
      </c>
      <c r="E79" s="35">
        <v>0.0985</v>
      </c>
      <c r="F79" s="35" t="s">
        <v>416</v>
      </c>
      <c r="G79" s="35" t="s">
        <v>417</v>
      </c>
      <c r="H79" s="35">
        <v>1304.98</v>
      </c>
      <c r="I79" s="35" t="s">
        <v>418</v>
      </c>
      <c r="J79" s="35" t="s">
        <v>419</v>
      </c>
      <c r="K79" s="35">
        <v>8</v>
      </c>
      <c r="L79" s="35">
        <v>230</v>
      </c>
      <c r="M79" s="35">
        <f>431</f>
        <v>431</v>
      </c>
      <c r="N79" s="37" t="s">
        <v>162</v>
      </c>
      <c r="O79" s="37" t="s">
        <v>420</v>
      </c>
      <c r="P79" s="37">
        <f>669+383+201</f>
        <v>1253</v>
      </c>
      <c r="Q79" s="38"/>
      <c r="R79" s="38"/>
      <c r="S79" s="38"/>
      <c r="T79" s="38"/>
      <c r="U79" s="38"/>
    </row>
    <row r="80" spans="1:21" ht="127.5">
      <c r="A80" s="35">
        <v>59</v>
      </c>
      <c r="B80" s="35" t="s">
        <v>421</v>
      </c>
      <c r="C80" s="36" t="s">
        <v>422</v>
      </c>
      <c r="D80" s="35" t="s">
        <v>246</v>
      </c>
      <c r="E80" s="35">
        <v>0.8515</v>
      </c>
      <c r="F80" s="35" t="s">
        <v>423</v>
      </c>
      <c r="G80" s="35" t="s">
        <v>424</v>
      </c>
      <c r="H80" s="35">
        <v>4278.76</v>
      </c>
      <c r="I80" s="35" t="s">
        <v>425</v>
      </c>
      <c r="J80" s="35" t="s">
        <v>426</v>
      </c>
      <c r="K80" s="35" t="s">
        <v>427</v>
      </c>
      <c r="L80" s="35">
        <v>15448</v>
      </c>
      <c r="M80" s="35">
        <f>13062+34</f>
        <v>13096</v>
      </c>
      <c r="N80" s="37" t="s">
        <v>162</v>
      </c>
      <c r="O80" s="37" t="s">
        <v>428</v>
      </c>
      <c r="P80" s="37">
        <f>28622+11633+6122</f>
        <v>46377</v>
      </c>
      <c r="Q80" s="38"/>
      <c r="R80" s="38"/>
      <c r="S80" s="38"/>
      <c r="T80" s="38"/>
      <c r="U80" s="38"/>
    </row>
    <row r="81" spans="1:21" ht="12.75">
      <c r="A81" s="51" t="s">
        <v>429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38"/>
      <c r="R81" s="38"/>
      <c r="S81" s="38"/>
      <c r="T81" s="38"/>
      <c r="U81" s="38"/>
    </row>
    <row r="82" spans="1:21" ht="63.75">
      <c r="A82" s="35">
        <v>60</v>
      </c>
      <c r="B82" s="35" t="s">
        <v>430</v>
      </c>
      <c r="C82" s="36" t="s">
        <v>431</v>
      </c>
      <c r="D82" s="35" t="s">
        <v>432</v>
      </c>
      <c r="E82" s="35">
        <v>0.832</v>
      </c>
      <c r="F82" s="35" t="s">
        <v>433</v>
      </c>
      <c r="G82" s="35"/>
      <c r="H82" s="35"/>
      <c r="I82" s="35" t="s">
        <v>434</v>
      </c>
      <c r="J82" s="35" t="s">
        <v>435</v>
      </c>
      <c r="K82" s="35"/>
      <c r="L82" s="35"/>
      <c r="M82" s="35">
        <f>219</f>
        <v>219</v>
      </c>
      <c r="N82" s="37" t="s">
        <v>436</v>
      </c>
      <c r="O82" s="37" t="s">
        <v>437</v>
      </c>
      <c r="P82" s="37">
        <f>219+169+136</f>
        <v>524</v>
      </c>
      <c r="Q82" s="38"/>
      <c r="R82" s="38"/>
      <c r="S82" s="38"/>
      <c r="T82" s="38"/>
      <c r="U82" s="38"/>
    </row>
    <row r="83" spans="1:21" ht="63.75">
      <c r="A83" s="35">
        <v>61</v>
      </c>
      <c r="B83" s="35" t="s">
        <v>438</v>
      </c>
      <c r="C83" s="36" t="s">
        <v>439</v>
      </c>
      <c r="D83" s="35" t="s">
        <v>440</v>
      </c>
      <c r="E83" s="35">
        <v>0.1603</v>
      </c>
      <c r="F83" s="35" t="s">
        <v>441</v>
      </c>
      <c r="G83" s="35"/>
      <c r="H83" s="35"/>
      <c r="I83" s="35" t="s">
        <v>442</v>
      </c>
      <c r="J83" s="35" t="s">
        <v>443</v>
      </c>
      <c r="K83" s="35"/>
      <c r="L83" s="35"/>
      <c r="M83" s="35">
        <f>364</f>
        <v>364</v>
      </c>
      <c r="N83" s="37" t="s">
        <v>436</v>
      </c>
      <c r="O83" s="37" t="s">
        <v>444</v>
      </c>
      <c r="P83" s="37">
        <f>364+281+226</f>
        <v>871</v>
      </c>
      <c r="Q83" s="38"/>
      <c r="R83" s="38"/>
      <c r="S83" s="38"/>
      <c r="T83" s="38"/>
      <c r="U83" s="38"/>
    </row>
    <row r="84" spans="1:21" ht="76.5">
      <c r="A84" s="35">
        <v>62</v>
      </c>
      <c r="B84" s="35" t="s">
        <v>445</v>
      </c>
      <c r="C84" s="36" t="s">
        <v>446</v>
      </c>
      <c r="D84" s="35" t="s">
        <v>447</v>
      </c>
      <c r="E84" s="35">
        <v>0.08</v>
      </c>
      <c r="F84" s="35" t="s">
        <v>448</v>
      </c>
      <c r="G84" s="35" t="s">
        <v>449</v>
      </c>
      <c r="H84" s="35"/>
      <c r="I84" s="35" t="s">
        <v>450</v>
      </c>
      <c r="J84" s="35" t="s">
        <v>451</v>
      </c>
      <c r="K84" s="35" t="s">
        <v>452</v>
      </c>
      <c r="L84" s="35"/>
      <c r="M84" s="35">
        <f>905+25</f>
        <v>930</v>
      </c>
      <c r="N84" s="37" t="s">
        <v>436</v>
      </c>
      <c r="O84" s="37" t="s">
        <v>453</v>
      </c>
      <c r="P84" s="37">
        <f>1090+717+577</f>
        <v>2384</v>
      </c>
      <c r="Q84" s="38"/>
      <c r="R84" s="38"/>
      <c r="S84" s="38"/>
      <c r="T84" s="38"/>
      <c r="U84" s="38"/>
    </row>
    <row r="85" spans="1:21" ht="63.75">
      <c r="A85" s="35">
        <v>63</v>
      </c>
      <c r="B85" s="35" t="s">
        <v>203</v>
      </c>
      <c r="C85" s="36" t="s">
        <v>454</v>
      </c>
      <c r="D85" s="35" t="s">
        <v>205</v>
      </c>
      <c r="E85" s="35">
        <v>0.1624</v>
      </c>
      <c r="F85" s="35" t="s">
        <v>206</v>
      </c>
      <c r="G85" s="35"/>
      <c r="H85" s="35"/>
      <c r="I85" s="35" t="s">
        <v>207</v>
      </c>
      <c r="J85" s="35" t="s">
        <v>455</v>
      </c>
      <c r="K85" s="35"/>
      <c r="L85" s="35"/>
      <c r="M85" s="35">
        <f>227</f>
        <v>227</v>
      </c>
      <c r="N85" s="37" t="s">
        <v>14</v>
      </c>
      <c r="O85" s="37" t="s">
        <v>456</v>
      </c>
      <c r="P85" s="37">
        <f>227+211+135</f>
        <v>573</v>
      </c>
      <c r="Q85" s="38"/>
      <c r="R85" s="38"/>
      <c r="S85" s="38"/>
      <c r="T85" s="38"/>
      <c r="U85" s="38"/>
    </row>
    <row r="86" spans="1:21" ht="76.5">
      <c r="A86" s="35">
        <v>64</v>
      </c>
      <c r="B86" s="35" t="s">
        <v>457</v>
      </c>
      <c r="C86" s="36" t="s">
        <v>458</v>
      </c>
      <c r="D86" s="35" t="s">
        <v>205</v>
      </c>
      <c r="E86" s="35">
        <v>0.274</v>
      </c>
      <c r="F86" s="35" t="s">
        <v>459</v>
      </c>
      <c r="G86" s="35" t="s">
        <v>460</v>
      </c>
      <c r="H86" s="35"/>
      <c r="I86" s="35" t="s">
        <v>461</v>
      </c>
      <c r="J86" s="35" t="s">
        <v>462</v>
      </c>
      <c r="K86" s="35" t="s">
        <v>463</v>
      </c>
      <c r="L86" s="35"/>
      <c r="M86" s="35">
        <f>3290+225</f>
        <v>3515</v>
      </c>
      <c r="N86" s="37" t="s">
        <v>14</v>
      </c>
      <c r="O86" s="37" t="s">
        <v>464</v>
      </c>
      <c r="P86" s="37">
        <f>3544+3271+2091</f>
        <v>8906</v>
      </c>
      <c r="Q86" s="38"/>
      <c r="R86" s="38"/>
      <c r="S86" s="38"/>
      <c r="T86" s="38"/>
      <c r="U86" s="38"/>
    </row>
    <row r="87" spans="1:21" ht="76.5">
      <c r="A87" s="35">
        <v>65</v>
      </c>
      <c r="B87" s="35" t="s">
        <v>465</v>
      </c>
      <c r="C87" s="36" t="s">
        <v>466</v>
      </c>
      <c r="D87" s="35" t="s">
        <v>467</v>
      </c>
      <c r="E87" s="35">
        <v>0.128</v>
      </c>
      <c r="F87" s="35" t="s">
        <v>468</v>
      </c>
      <c r="G87" s="35">
        <v>0.2</v>
      </c>
      <c r="H87" s="35"/>
      <c r="I87" s="35" t="s">
        <v>469</v>
      </c>
      <c r="J87" s="35" t="s">
        <v>470</v>
      </c>
      <c r="K87" s="35"/>
      <c r="L87" s="35"/>
      <c r="M87" s="35">
        <f>72</f>
        <v>72</v>
      </c>
      <c r="N87" s="37" t="s">
        <v>471</v>
      </c>
      <c r="O87" s="37" t="s">
        <v>472</v>
      </c>
      <c r="P87" s="37">
        <f>72+56+47</f>
        <v>175</v>
      </c>
      <c r="Q87" s="38"/>
      <c r="R87" s="38"/>
      <c r="S87" s="38"/>
      <c r="T87" s="38"/>
      <c r="U87" s="38"/>
    </row>
    <row r="88" spans="1:21" ht="140.25">
      <c r="A88" s="35">
        <v>66</v>
      </c>
      <c r="B88" s="35" t="s">
        <v>473</v>
      </c>
      <c r="C88" s="36" t="s">
        <v>474</v>
      </c>
      <c r="D88" s="35" t="s">
        <v>475</v>
      </c>
      <c r="E88" s="35">
        <v>0.87</v>
      </c>
      <c r="F88" s="35" t="s">
        <v>476</v>
      </c>
      <c r="G88" s="35" t="s">
        <v>477</v>
      </c>
      <c r="H88" s="35">
        <v>83.79</v>
      </c>
      <c r="I88" s="35" t="s">
        <v>478</v>
      </c>
      <c r="J88" s="35" t="s">
        <v>479</v>
      </c>
      <c r="K88" s="35" t="s">
        <v>480</v>
      </c>
      <c r="L88" s="35">
        <v>175</v>
      </c>
      <c r="M88" s="35">
        <f>2388+10</f>
        <v>2398</v>
      </c>
      <c r="N88" s="37" t="s">
        <v>481</v>
      </c>
      <c r="O88" s="37" t="s">
        <v>482</v>
      </c>
      <c r="P88" s="37">
        <f>3014+2029+1733</f>
        <v>6776</v>
      </c>
      <c r="Q88" s="38"/>
      <c r="R88" s="38"/>
      <c r="S88" s="38"/>
      <c r="T88" s="38"/>
      <c r="U88" s="38"/>
    </row>
    <row r="89" spans="1:21" ht="102">
      <c r="A89" s="35">
        <v>67</v>
      </c>
      <c r="B89" s="35" t="s">
        <v>483</v>
      </c>
      <c r="C89" s="36" t="s">
        <v>484</v>
      </c>
      <c r="D89" s="35" t="s">
        <v>485</v>
      </c>
      <c r="E89" s="35">
        <v>22.9</v>
      </c>
      <c r="F89" s="35" t="s">
        <v>486</v>
      </c>
      <c r="G89" s="35" t="s">
        <v>487</v>
      </c>
      <c r="H89" s="35">
        <v>1170.3</v>
      </c>
      <c r="I89" s="35" t="s">
        <v>488</v>
      </c>
      <c r="J89" s="35" t="s">
        <v>489</v>
      </c>
      <c r="K89" s="35" t="s">
        <v>490</v>
      </c>
      <c r="L89" s="35">
        <v>76380</v>
      </c>
      <c r="M89" s="35">
        <f>3657+160</f>
        <v>3817</v>
      </c>
      <c r="N89" s="37" t="s">
        <v>331</v>
      </c>
      <c r="O89" s="37" t="s">
        <v>491</v>
      </c>
      <c r="P89" s="37">
        <f>81143+3811+2044</f>
        <v>86998</v>
      </c>
      <c r="Q89" s="38"/>
      <c r="R89" s="38"/>
      <c r="S89" s="38"/>
      <c r="T89" s="38"/>
      <c r="U89" s="38"/>
    </row>
    <row r="90" spans="1:21" ht="165.75">
      <c r="A90" s="35">
        <v>68</v>
      </c>
      <c r="B90" s="35" t="s">
        <v>492</v>
      </c>
      <c r="C90" s="36" t="s">
        <v>493</v>
      </c>
      <c r="D90" s="35" t="s">
        <v>494</v>
      </c>
      <c r="E90" s="35">
        <v>0.229</v>
      </c>
      <c r="F90" s="35" t="s">
        <v>495</v>
      </c>
      <c r="G90" s="35" t="s">
        <v>496</v>
      </c>
      <c r="H90" s="35">
        <v>3573.18</v>
      </c>
      <c r="I90" s="35" t="s">
        <v>497</v>
      </c>
      <c r="J90" s="35" t="s">
        <v>498</v>
      </c>
      <c r="K90" s="35" t="s">
        <v>499</v>
      </c>
      <c r="L90" s="35">
        <v>1277</v>
      </c>
      <c r="M90" s="35">
        <f>1186+6</f>
        <v>1192</v>
      </c>
      <c r="N90" s="37" t="s">
        <v>331</v>
      </c>
      <c r="O90" s="37" t="s">
        <v>500</v>
      </c>
      <c r="P90" s="37">
        <f>2557+1190+638</f>
        <v>4385</v>
      </c>
      <c r="Q90" s="38"/>
      <c r="R90" s="38"/>
      <c r="S90" s="38"/>
      <c r="T90" s="38"/>
      <c r="U90" s="38"/>
    </row>
    <row r="91" spans="1:21" ht="12.75">
      <c r="A91" s="35">
        <v>69</v>
      </c>
      <c r="B91" s="35" t="s">
        <v>501</v>
      </c>
      <c r="C91" s="36" t="s">
        <v>502</v>
      </c>
      <c r="D91" s="35" t="s">
        <v>485</v>
      </c>
      <c r="E91" s="35">
        <v>6.15</v>
      </c>
      <c r="F91" s="35">
        <v>595</v>
      </c>
      <c r="G91" s="35"/>
      <c r="H91" s="35">
        <v>595</v>
      </c>
      <c r="I91" s="35" t="s">
        <v>503</v>
      </c>
      <c r="J91" s="35">
        <v>3659</v>
      </c>
      <c r="K91" s="35"/>
      <c r="L91" s="35">
        <v>3659</v>
      </c>
      <c r="M91" s="35"/>
      <c r="N91" s="37"/>
      <c r="O91" s="37"/>
      <c r="P91" s="37">
        <f>3659</f>
        <v>3659</v>
      </c>
      <c r="Q91" s="38"/>
      <c r="R91" s="38"/>
      <c r="S91" s="38"/>
      <c r="T91" s="38"/>
      <c r="U91" s="38"/>
    </row>
    <row r="92" spans="1:21" ht="114.75">
      <c r="A92" s="35">
        <v>70</v>
      </c>
      <c r="B92" s="35" t="s">
        <v>504</v>
      </c>
      <c r="C92" s="36" t="s">
        <v>506</v>
      </c>
      <c r="D92" s="35" t="s">
        <v>507</v>
      </c>
      <c r="E92" s="35">
        <v>0.471</v>
      </c>
      <c r="F92" s="35" t="s">
        <v>508</v>
      </c>
      <c r="G92" s="35">
        <v>8.29</v>
      </c>
      <c r="H92" s="35">
        <v>2625</v>
      </c>
      <c r="I92" s="35" t="s">
        <v>509</v>
      </c>
      <c r="J92" s="35" t="s">
        <v>510</v>
      </c>
      <c r="K92" s="35">
        <v>25</v>
      </c>
      <c r="L92" s="35">
        <v>2534</v>
      </c>
      <c r="M92" s="35">
        <f>160</f>
        <v>160</v>
      </c>
      <c r="N92" s="37" t="s">
        <v>511</v>
      </c>
      <c r="O92" s="37" t="s">
        <v>512</v>
      </c>
      <c r="P92" s="37">
        <f>2719+210+136</f>
        <v>3065</v>
      </c>
      <c r="Q92" s="38"/>
      <c r="R92" s="38"/>
      <c r="S92" s="38"/>
      <c r="T92" s="38"/>
      <c r="U92" s="38"/>
    </row>
    <row r="93" spans="1:21" ht="140.25">
      <c r="A93" s="35">
        <v>71</v>
      </c>
      <c r="B93" s="35" t="s">
        <v>513</v>
      </c>
      <c r="C93" s="36" t="s">
        <v>514</v>
      </c>
      <c r="D93" s="35" t="s">
        <v>515</v>
      </c>
      <c r="E93" s="35">
        <v>0.235</v>
      </c>
      <c r="F93" s="35" t="s">
        <v>516</v>
      </c>
      <c r="G93" s="35">
        <v>4.28</v>
      </c>
      <c r="H93" s="35">
        <v>347.12</v>
      </c>
      <c r="I93" s="35" t="s">
        <v>517</v>
      </c>
      <c r="J93" s="35" t="s">
        <v>518</v>
      </c>
      <c r="K93" s="35">
        <v>5</v>
      </c>
      <c r="L93" s="35">
        <v>267</v>
      </c>
      <c r="M93" s="35">
        <f>655</f>
        <v>655</v>
      </c>
      <c r="N93" s="37" t="s">
        <v>162</v>
      </c>
      <c r="O93" s="37" t="s">
        <v>519</v>
      </c>
      <c r="P93" s="37">
        <f>927+582+306</f>
        <v>1815</v>
      </c>
      <c r="Q93" s="38"/>
      <c r="R93" s="38"/>
      <c r="S93" s="38"/>
      <c r="T93" s="38"/>
      <c r="U93" s="38"/>
    </row>
    <row r="94" spans="1:21" ht="114.75">
      <c r="A94" s="35">
        <v>72</v>
      </c>
      <c r="B94" s="35" t="s">
        <v>520</v>
      </c>
      <c r="C94" s="36" t="s">
        <v>521</v>
      </c>
      <c r="D94" s="35" t="s">
        <v>8</v>
      </c>
      <c r="E94" s="35">
        <v>0.0188</v>
      </c>
      <c r="F94" s="35" t="s">
        <v>522</v>
      </c>
      <c r="G94" s="35" t="s">
        <v>523</v>
      </c>
      <c r="H94" s="35">
        <v>6516.18</v>
      </c>
      <c r="I94" s="35" t="s">
        <v>524</v>
      </c>
      <c r="J94" s="35" t="s">
        <v>525</v>
      </c>
      <c r="K94" s="35" t="s">
        <v>526</v>
      </c>
      <c r="L94" s="35">
        <v>372</v>
      </c>
      <c r="M94" s="35">
        <f>164+1</f>
        <v>165</v>
      </c>
      <c r="N94" s="37" t="s">
        <v>106</v>
      </c>
      <c r="O94" s="37" t="s">
        <v>527</v>
      </c>
      <c r="P94" s="37">
        <f>539+168+91</f>
        <v>798</v>
      </c>
      <c r="Q94" s="38"/>
      <c r="R94" s="38"/>
      <c r="S94" s="38"/>
      <c r="T94" s="38"/>
      <c r="U94" s="38"/>
    </row>
    <row r="95" spans="1:21" ht="114.75">
      <c r="A95" s="35">
        <v>73</v>
      </c>
      <c r="B95" s="35" t="s">
        <v>528</v>
      </c>
      <c r="C95" s="36" t="s">
        <v>529</v>
      </c>
      <c r="D95" s="35" t="s">
        <v>288</v>
      </c>
      <c r="E95" s="35">
        <v>0.146</v>
      </c>
      <c r="F95" s="35" t="s">
        <v>530</v>
      </c>
      <c r="G95" s="35" t="s">
        <v>531</v>
      </c>
      <c r="H95" s="35">
        <v>2246.51</v>
      </c>
      <c r="I95" s="35" t="s">
        <v>532</v>
      </c>
      <c r="J95" s="35" t="s">
        <v>533</v>
      </c>
      <c r="K95" s="35" t="s">
        <v>534</v>
      </c>
      <c r="L95" s="35">
        <v>912</v>
      </c>
      <c r="M95" s="35">
        <f>2508+40</f>
        <v>2548</v>
      </c>
      <c r="N95" s="37" t="s">
        <v>162</v>
      </c>
      <c r="O95" s="37" t="s">
        <v>535</v>
      </c>
      <c r="P95" s="37">
        <f>3465+2263+1191</f>
        <v>6919</v>
      </c>
      <c r="Q95" s="38"/>
      <c r="R95" s="38"/>
      <c r="S95" s="38"/>
      <c r="T95" s="38"/>
      <c r="U95" s="38"/>
    </row>
    <row r="96" spans="1:21" ht="89.25">
      <c r="A96" s="35">
        <v>74</v>
      </c>
      <c r="B96" s="35" t="s">
        <v>237</v>
      </c>
      <c r="C96" s="36" t="s">
        <v>536</v>
      </c>
      <c r="D96" s="35" t="s">
        <v>205</v>
      </c>
      <c r="E96" s="35">
        <v>0.584</v>
      </c>
      <c r="F96" s="35" t="s">
        <v>239</v>
      </c>
      <c r="G96" s="35" t="s">
        <v>240</v>
      </c>
      <c r="H96" s="35">
        <v>569.69</v>
      </c>
      <c r="I96" s="35" t="s">
        <v>241</v>
      </c>
      <c r="J96" s="35" t="s">
        <v>537</v>
      </c>
      <c r="K96" s="35" t="s">
        <v>538</v>
      </c>
      <c r="L96" s="35">
        <v>1087</v>
      </c>
      <c r="M96" s="35">
        <f>2389+21</f>
        <v>2410</v>
      </c>
      <c r="N96" s="37" t="s">
        <v>235</v>
      </c>
      <c r="O96" s="37" t="s">
        <v>539</v>
      </c>
      <c r="P96" s="37">
        <f>3500+1790+1205</f>
        <v>6495</v>
      </c>
      <c r="Q96" s="38"/>
      <c r="R96" s="38"/>
      <c r="S96" s="38"/>
      <c r="T96" s="38"/>
      <c r="U96" s="38"/>
    </row>
    <row r="97" spans="1:21" ht="114.75">
      <c r="A97" s="35">
        <v>75</v>
      </c>
      <c r="B97" s="35" t="s">
        <v>473</v>
      </c>
      <c r="C97" s="36" t="s">
        <v>540</v>
      </c>
      <c r="D97" s="35" t="s">
        <v>475</v>
      </c>
      <c r="E97" s="35">
        <v>0.87</v>
      </c>
      <c r="F97" s="35" t="s">
        <v>476</v>
      </c>
      <c r="G97" s="35" t="s">
        <v>477</v>
      </c>
      <c r="H97" s="35">
        <v>83.79</v>
      </c>
      <c r="I97" s="35" t="s">
        <v>478</v>
      </c>
      <c r="J97" s="35" t="s">
        <v>541</v>
      </c>
      <c r="K97" s="35" t="s">
        <v>542</v>
      </c>
      <c r="L97" s="35">
        <v>250</v>
      </c>
      <c r="M97" s="35">
        <f>3411+14</f>
        <v>3425</v>
      </c>
      <c r="N97" s="37" t="s">
        <v>481</v>
      </c>
      <c r="O97" s="37" t="s">
        <v>543</v>
      </c>
      <c r="P97" s="37">
        <f>4305+2898+2475</f>
        <v>9678</v>
      </c>
      <c r="Q97" s="38"/>
      <c r="R97" s="38"/>
      <c r="S97" s="38"/>
      <c r="T97" s="38"/>
      <c r="U97" s="38"/>
    </row>
    <row r="98" spans="1:21" ht="89.25">
      <c r="A98" s="35">
        <v>76</v>
      </c>
      <c r="B98" s="35" t="s">
        <v>544</v>
      </c>
      <c r="C98" s="36" t="s">
        <v>545</v>
      </c>
      <c r="D98" s="35" t="s">
        <v>145</v>
      </c>
      <c r="E98" s="35">
        <v>0.87</v>
      </c>
      <c r="F98" s="35">
        <v>9270</v>
      </c>
      <c r="G98" s="35"/>
      <c r="H98" s="35">
        <v>9270</v>
      </c>
      <c r="I98" s="35" t="s">
        <v>478</v>
      </c>
      <c r="J98" s="35">
        <v>27663</v>
      </c>
      <c r="K98" s="35"/>
      <c r="L98" s="35">
        <v>27663</v>
      </c>
      <c r="M98" s="35"/>
      <c r="N98" s="37"/>
      <c r="O98" s="37"/>
      <c r="P98" s="37">
        <f>27663</f>
        <v>27663</v>
      </c>
      <c r="Q98" s="38"/>
      <c r="R98" s="38"/>
      <c r="S98" s="38"/>
      <c r="T98" s="38"/>
      <c r="U98" s="38"/>
    </row>
    <row r="99" spans="1:21" ht="89.25">
      <c r="A99" s="35">
        <v>77</v>
      </c>
      <c r="B99" s="35" t="s">
        <v>546</v>
      </c>
      <c r="C99" s="36" t="s">
        <v>547</v>
      </c>
      <c r="D99" s="35" t="s">
        <v>548</v>
      </c>
      <c r="E99" s="35">
        <v>7</v>
      </c>
      <c r="F99" s="35">
        <v>94.68</v>
      </c>
      <c r="G99" s="35"/>
      <c r="H99" s="35">
        <v>94.68</v>
      </c>
      <c r="I99" s="35" t="s">
        <v>478</v>
      </c>
      <c r="J99" s="35">
        <v>2273</v>
      </c>
      <c r="K99" s="35"/>
      <c r="L99" s="35">
        <v>2273</v>
      </c>
      <c r="M99" s="35"/>
      <c r="N99" s="37"/>
      <c r="O99" s="37"/>
      <c r="P99" s="37">
        <f>2273</f>
        <v>2273</v>
      </c>
      <c r="Q99" s="38"/>
      <c r="R99" s="38"/>
      <c r="S99" s="38"/>
      <c r="T99" s="38"/>
      <c r="U99" s="38"/>
    </row>
    <row r="100" spans="1:21" ht="191.25">
      <c r="A100" s="35">
        <v>78</v>
      </c>
      <c r="B100" s="35" t="s">
        <v>549</v>
      </c>
      <c r="C100" s="36" t="s">
        <v>550</v>
      </c>
      <c r="D100" s="35" t="s">
        <v>494</v>
      </c>
      <c r="E100" s="35">
        <v>0.1393</v>
      </c>
      <c r="F100" s="35" t="s">
        <v>551</v>
      </c>
      <c r="G100" s="35" t="s">
        <v>552</v>
      </c>
      <c r="H100" s="35">
        <v>27442.79</v>
      </c>
      <c r="I100" s="35" t="s">
        <v>553</v>
      </c>
      <c r="J100" s="35" t="s">
        <v>554</v>
      </c>
      <c r="K100" s="35" t="s">
        <v>555</v>
      </c>
      <c r="L100" s="35">
        <v>3720</v>
      </c>
      <c r="M100" s="35">
        <f>1208+210</f>
        <v>1418</v>
      </c>
      <c r="N100" s="37" t="s">
        <v>331</v>
      </c>
      <c r="O100" s="37" t="s">
        <v>556</v>
      </c>
      <c r="P100" s="37">
        <f>6032+1416+759</f>
        <v>8207</v>
      </c>
      <c r="Q100" s="38"/>
      <c r="R100" s="38"/>
      <c r="S100" s="38"/>
      <c r="T100" s="38"/>
      <c r="U100" s="38"/>
    </row>
    <row r="101" spans="1:21" ht="12.75">
      <c r="A101" s="35">
        <v>79</v>
      </c>
      <c r="B101" s="35" t="s">
        <v>501</v>
      </c>
      <c r="C101" s="36" t="s">
        <v>557</v>
      </c>
      <c r="D101" s="35" t="s">
        <v>558</v>
      </c>
      <c r="E101" s="35">
        <v>7</v>
      </c>
      <c r="F101" s="35">
        <v>3352</v>
      </c>
      <c r="G101" s="35"/>
      <c r="H101" s="35">
        <v>3352</v>
      </c>
      <c r="I101" s="35" t="s">
        <v>503</v>
      </c>
      <c r="J101" s="35">
        <v>23464</v>
      </c>
      <c r="K101" s="35"/>
      <c r="L101" s="35">
        <v>23464</v>
      </c>
      <c r="M101" s="35"/>
      <c r="N101" s="37"/>
      <c r="O101" s="37"/>
      <c r="P101" s="37">
        <f>23464</f>
        <v>23464</v>
      </c>
      <c r="Q101" s="38"/>
      <c r="R101" s="38"/>
      <c r="S101" s="38"/>
      <c r="T101" s="38"/>
      <c r="U101" s="38"/>
    </row>
    <row r="102" spans="1:21" ht="89.25">
      <c r="A102" s="35">
        <v>80</v>
      </c>
      <c r="B102" s="35" t="s">
        <v>559</v>
      </c>
      <c r="C102" s="36" t="s">
        <v>560</v>
      </c>
      <c r="D102" s="35" t="s">
        <v>558</v>
      </c>
      <c r="E102" s="35">
        <v>7</v>
      </c>
      <c r="F102" s="35">
        <v>75.7</v>
      </c>
      <c r="G102" s="35"/>
      <c r="H102" s="35">
        <v>75.7</v>
      </c>
      <c r="I102" s="35" t="s">
        <v>553</v>
      </c>
      <c r="J102" s="35">
        <v>2098</v>
      </c>
      <c r="K102" s="35"/>
      <c r="L102" s="35">
        <v>2098</v>
      </c>
      <c r="M102" s="35"/>
      <c r="N102" s="37"/>
      <c r="O102" s="37"/>
      <c r="P102" s="37">
        <f>2098</f>
        <v>2098</v>
      </c>
      <c r="Q102" s="38"/>
      <c r="R102" s="38"/>
      <c r="S102" s="38"/>
      <c r="T102" s="38"/>
      <c r="U102" s="38"/>
    </row>
    <row r="103" spans="1:21" ht="102">
      <c r="A103" s="35">
        <v>81</v>
      </c>
      <c r="B103" s="35" t="s">
        <v>561</v>
      </c>
      <c r="C103" s="36" t="s">
        <v>562</v>
      </c>
      <c r="D103" s="35" t="s">
        <v>475</v>
      </c>
      <c r="E103" s="35">
        <v>0.12</v>
      </c>
      <c r="F103" s="35" t="s">
        <v>563</v>
      </c>
      <c r="G103" s="35" t="s">
        <v>564</v>
      </c>
      <c r="H103" s="35">
        <v>37.49</v>
      </c>
      <c r="I103" s="35" t="s">
        <v>565</v>
      </c>
      <c r="J103" s="35" t="s">
        <v>566</v>
      </c>
      <c r="K103" s="35" t="s">
        <v>567</v>
      </c>
      <c r="L103" s="35">
        <v>15</v>
      </c>
      <c r="M103" s="35">
        <f>829+8</f>
        <v>837</v>
      </c>
      <c r="N103" s="37" t="s">
        <v>481</v>
      </c>
      <c r="O103" s="37" t="s">
        <v>568</v>
      </c>
      <c r="P103" s="37">
        <f>930+708+605</f>
        <v>2243</v>
      </c>
      <c r="Q103" s="38"/>
      <c r="R103" s="38"/>
      <c r="S103" s="38"/>
      <c r="T103" s="38"/>
      <c r="U103" s="38"/>
    </row>
    <row r="104" spans="1:21" ht="25.5">
      <c r="A104" s="35">
        <v>82</v>
      </c>
      <c r="B104" s="35" t="s">
        <v>501</v>
      </c>
      <c r="C104" s="36" t="s">
        <v>569</v>
      </c>
      <c r="D104" s="35" t="s">
        <v>558</v>
      </c>
      <c r="E104" s="35">
        <v>1</v>
      </c>
      <c r="F104" s="35">
        <v>14640</v>
      </c>
      <c r="G104" s="35"/>
      <c r="H104" s="35">
        <v>14640</v>
      </c>
      <c r="I104" s="35" t="s">
        <v>503</v>
      </c>
      <c r="J104" s="35">
        <v>14640</v>
      </c>
      <c r="K104" s="35"/>
      <c r="L104" s="35">
        <v>14640</v>
      </c>
      <c r="M104" s="35"/>
      <c r="N104" s="37"/>
      <c r="O104" s="37"/>
      <c r="P104" s="37">
        <f>14640</f>
        <v>14640</v>
      </c>
      <c r="Q104" s="38"/>
      <c r="R104" s="38"/>
      <c r="S104" s="38"/>
      <c r="T104" s="38"/>
      <c r="U104" s="38"/>
    </row>
    <row r="105" spans="1:21" ht="114.75">
      <c r="A105" s="35">
        <v>83</v>
      </c>
      <c r="B105" s="35" t="s">
        <v>504</v>
      </c>
      <c r="C105" s="36" t="s">
        <v>570</v>
      </c>
      <c r="D105" s="35" t="s">
        <v>507</v>
      </c>
      <c r="E105" s="35">
        <v>0.49</v>
      </c>
      <c r="F105" s="35" t="s">
        <v>508</v>
      </c>
      <c r="G105" s="35">
        <v>8.29</v>
      </c>
      <c r="H105" s="35">
        <v>2625</v>
      </c>
      <c r="I105" s="35" t="s">
        <v>509</v>
      </c>
      <c r="J105" s="35" t="s">
        <v>571</v>
      </c>
      <c r="K105" s="35">
        <v>26</v>
      </c>
      <c r="L105" s="35">
        <v>2636</v>
      </c>
      <c r="M105" s="35">
        <f>167</f>
        <v>167</v>
      </c>
      <c r="N105" s="37" t="s">
        <v>511</v>
      </c>
      <c r="O105" s="37" t="s">
        <v>572</v>
      </c>
      <c r="P105" s="37">
        <f>2829+219+142</f>
        <v>3190</v>
      </c>
      <c r="Q105" s="38"/>
      <c r="R105" s="38"/>
      <c r="S105" s="38"/>
      <c r="T105" s="38"/>
      <c r="U105" s="38"/>
    </row>
    <row r="106" spans="1:21" ht="102">
      <c r="A106" s="35">
        <v>84</v>
      </c>
      <c r="B106" s="35" t="s">
        <v>573</v>
      </c>
      <c r="C106" s="36" t="s">
        <v>574</v>
      </c>
      <c r="D106" s="35" t="s">
        <v>575</v>
      </c>
      <c r="E106" s="35">
        <v>0.72</v>
      </c>
      <c r="F106" s="35" t="s">
        <v>576</v>
      </c>
      <c r="G106" s="35">
        <v>3.02</v>
      </c>
      <c r="H106" s="35">
        <v>448.66</v>
      </c>
      <c r="I106" s="35" t="s">
        <v>577</v>
      </c>
      <c r="J106" s="35" t="s">
        <v>578</v>
      </c>
      <c r="K106" s="35">
        <v>14</v>
      </c>
      <c r="L106" s="35">
        <v>775</v>
      </c>
      <c r="M106" s="35">
        <f>416</f>
        <v>416</v>
      </c>
      <c r="N106" s="37" t="s">
        <v>331</v>
      </c>
      <c r="O106" s="37" t="s">
        <v>579</v>
      </c>
      <c r="P106" s="37">
        <f>1205+415+223</f>
        <v>1843</v>
      </c>
      <c r="Q106" s="38"/>
      <c r="R106" s="38"/>
      <c r="S106" s="38"/>
      <c r="T106" s="38"/>
      <c r="U106" s="38"/>
    </row>
    <row r="107" spans="1:21" ht="127.5">
      <c r="A107" s="35">
        <v>85</v>
      </c>
      <c r="B107" s="35" t="s">
        <v>580</v>
      </c>
      <c r="C107" s="36" t="s">
        <v>581</v>
      </c>
      <c r="D107" s="35" t="s">
        <v>205</v>
      </c>
      <c r="E107" s="35">
        <v>0.029</v>
      </c>
      <c r="F107" s="35" t="s">
        <v>582</v>
      </c>
      <c r="G107" s="35" t="s">
        <v>583</v>
      </c>
      <c r="H107" s="35">
        <v>47039.58</v>
      </c>
      <c r="I107" s="35" t="s">
        <v>584</v>
      </c>
      <c r="J107" s="35" t="s">
        <v>585</v>
      </c>
      <c r="K107" s="35" t="s">
        <v>586</v>
      </c>
      <c r="L107" s="35">
        <v>3125</v>
      </c>
      <c r="M107" s="35">
        <f>126+1</f>
        <v>127</v>
      </c>
      <c r="N107" s="37" t="s">
        <v>162</v>
      </c>
      <c r="O107" s="37" t="s">
        <v>587</v>
      </c>
      <c r="P107" s="37">
        <f>3269+113+59</f>
        <v>3441</v>
      </c>
      <c r="Q107" s="38"/>
      <c r="R107" s="38"/>
      <c r="S107" s="38"/>
      <c r="T107" s="38"/>
      <c r="U107" s="38"/>
    </row>
    <row r="108" spans="1:21" ht="76.5">
      <c r="A108" s="35">
        <v>86</v>
      </c>
      <c r="B108" s="35" t="s">
        <v>588</v>
      </c>
      <c r="C108" s="36" t="s">
        <v>589</v>
      </c>
      <c r="D108" s="35" t="s">
        <v>590</v>
      </c>
      <c r="E108" s="35">
        <v>0.07</v>
      </c>
      <c r="F108" s="35" t="s">
        <v>591</v>
      </c>
      <c r="G108" s="35"/>
      <c r="H108" s="35">
        <v>879.72</v>
      </c>
      <c r="I108" s="35" t="s">
        <v>592</v>
      </c>
      <c r="J108" s="35" t="s">
        <v>593</v>
      </c>
      <c r="K108" s="35"/>
      <c r="L108" s="35">
        <v>137</v>
      </c>
      <c r="M108" s="35">
        <f>77</f>
        <v>77</v>
      </c>
      <c r="N108" s="37" t="s">
        <v>436</v>
      </c>
      <c r="O108" s="37" t="s">
        <v>594</v>
      </c>
      <c r="P108" s="37">
        <f>214+59+48</f>
        <v>321</v>
      </c>
      <c r="Q108" s="38"/>
      <c r="R108" s="38"/>
      <c r="S108" s="38"/>
      <c r="T108" s="38"/>
      <c r="U108" s="38"/>
    </row>
    <row r="109" spans="1:21" ht="153">
      <c r="A109" s="35">
        <v>87</v>
      </c>
      <c r="B109" s="35" t="s">
        <v>595</v>
      </c>
      <c r="C109" s="36" t="s">
        <v>596</v>
      </c>
      <c r="D109" s="35" t="s">
        <v>467</v>
      </c>
      <c r="E109" s="35">
        <v>0.07</v>
      </c>
      <c r="F109" s="35" t="s">
        <v>597</v>
      </c>
      <c r="G109" s="35">
        <v>182.33</v>
      </c>
      <c r="H109" s="35">
        <v>1700.17</v>
      </c>
      <c r="I109" s="35" t="s">
        <v>598</v>
      </c>
      <c r="J109" s="35" t="s">
        <v>599</v>
      </c>
      <c r="K109" s="35">
        <v>71</v>
      </c>
      <c r="L109" s="35">
        <v>10</v>
      </c>
      <c r="M109" s="35">
        <f>75</f>
        <v>75</v>
      </c>
      <c r="N109" s="37" t="s">
        <v>481</v>
      </c>
      <c r="O109" s="37" t="s">
        <v>600</v>
      </c>
      <c r="P109" s="37">
        <f>156+78+51</f>
        <v>285</v>
      </c>
      <c r="Q109" s="38"/>
      <c r="R109" s="38"/>
      <c r="S109" s="38"/>
      <c r="T109" s="38"/>
      <c r="U109" s="38"/>
    </row>
    <row r="110" spans="1:21" ht="12.75">
      <c r="A110" s="35">
        <v>88</v>
      </c>
      <c r="B110" s="35" t="s">
        <v>501</v>
      </c>
      <c r="C110" s="36" t="s">
        <v>601</v>
      </c>
      <c r="D110" s="35" t="s">
        <v>602</v>
      </c>
      <c r="E110" s="35">
        <v>7</v>
      </c>
      <c r="F110" s="35">
        <v>120</v>
      </c>
      <c r="G110" s="35"/>
      <c r="H110" s="35">
        <v>120</v>
      </c>
      <c r="I110" s="35" t="s">
        <v>503</v>
      </c>
      <c r="J110" s="35">
        <v>840</v>
      </c>
      <c r="K110" s="35"/>
      <c r="L110" s="35">
        <v>840</v>
      </c>
      <c r="M110" s="35"/>
      <c r="N110" s="37"/>
      <c r="O110" s="37"/>
      <c r="P110" s="37">
        <f>840</f>
        <v>840</v>
      </c>
      <c r="Q110" s="38"/>
      <c r="R110" s="38"/>
      <c r="S110" s="38"/>
      <c r="T110" s="38"/>
      <c r="U110" s="38"/>
    </row>
    <row r="111" spans="1:21" ht="89.25">
      <c r="A111" s="35">
        <v>89</v>
      </c>
      <c r="B111" s="35" t="s">
        <v>603</v>
      </c>
      <c r="C111" s="36" t="s">
        <v>604</v>
      </c>
      <c r="D111" s="35" t="s">
        <v>212</v>
      </c>
      <c r="E111" s="35">
        <v>0.146</v>
      </c>
      <c r="F111" s="35" t="s">
        <v>605</v>
      </c>
      <c r="G111" s="35" t="s">
        <v>606</v>
      </c>
      <c r="H111" s="35">
        <v>926.79</v>
      </c>
      <c r="I111" s="35" t="s">
        <v>607</v>
      </c>
      <c r="J111" s="35" t="s">
        <v>608</v>
      </c>
      <c r="K111" s="35">
        <v>8</v>
      </c>
      <c r="L111" s="35">
        <v>266</v>
      </c>
      <c r="M111" s="35">
        <f>612</f>
        <v>612</v>
      </c>
      <c r="N111" s="37" t="s">
        <v>162</v>
      </c>
      <c r="O111" s="37" t="s">
        <v>609</v>
      </c>
      <c r="P111" s="37">
        <f>886+544+286</f>
        <v>1716</v>
      </c>
      <c r="Q111" s="38"/>
      <c r="R111" s="38"/>
      <c r="S111" s="38"/>
      <c r="T111" s="38"/>
      <c r="U111" s="38"/>
    </row>
    <row r="112" spans="1:21" ht="114.75">
      <c r="A112" s="35">
        <v>90</v>
      </c>
      <c r="B112" s="35" t="s">
        <v>595</v>
      </c>
      <c r="C112" s="36" t="s">
        <v>610</v>
      </c>
      <c r="D112" s="35" t="s">
        <v>467</v>
      </c>
      <c r="E112" s="35">
        <v>0.7</v>
      </c>
      <c r="F112" s="35" t="s">
        <v>597</v>
      </c>
      <c r="G112" s="35">
        <v>182.33</v>
      </c>
      <c r="H112" s="35">
        <v>1700.17</v>
      </c>
      <c r="I112" s="35" t="s">
        <v>598</v>
      </c>
      <c r="J112" s="35" t="s">
        <v>611</v>
      </c>
      <c r="K112" s="35">
        <v>708</v>
      </c>
      <c r="L112" s="35">
        <v>4273</v>
      </c>
      <c r="M112" s="35">
        <f>754</f>
        <v>754</v>
      </c>
      <c r="N112" s="37" t="s">
        <v>481</v>
      </c>
      <c r="O112" s="37" t="s">
        <v>612</v>
      </c>
      <c r="P112" s="37">
        <f>5735+638+545</f>
        <v>6918</v>
      </c>
      <c r="Q112" s="38"/>
      <c r="R112" s="38"/>
      <c r="S112" s="38"/>
      <c r="T112" s="38"/>
      <c r="U112" s="38"/>
    </row>
    <row r="113" spans="1:21" ht="63.75">
      <c r="A113" s="35">
        <v>91</v>
      </c>
      <c r="B113" s="35" t="s">
        <v>613</v>
      </c>
      <c r="C113" s="36" t="s">
        <v>614</v>
      </c>
      <c r="D113" s="35" t="s">
        <v>615</v>
      </c>
      <c r="E113" s="35">
        <v>0.1029</v>
      </c>
      <c r="F113" s="35" t="s">
        <v>616</v>
      </c>
      <c r="G113" s="35"/>
      <c r="H113" s="35"/>
      <c r="I113" s="35" t="s">
        <v>617</v>
      </c>
      <c r="J113" s="35" t="s">
        <v>618</v>
      </c>
      <c r="K113" s="35"/>
      <c r="L113" s="35"/>
      <c r="M113" s="35">
        <f>131</f>
        <v>131</v>
      </c>
      <c r="N113" s="37" t="s">
        <v>619</v>
      </c>
      <c r="O113" s="37" t="s">
        <v>620</v>
      </c>
      <c r="P113" s="37">
        <f>131+99+66</f>
        <v>296</v>
      </c>
      <c r="Q113" s="38"/>
      <c r="R113" s="38"/>
      <c r="S113" s="38"/>
      <c r="T113" s="38"/>
      <c r="U113" s="38"/>
    </row>
    <row r="114" spans="1:21" ht="89.25">
      <c r="A114" s="35">
        <v>92</v>
      </c>
      <c r="B114" s="35" t="s">
        <v>621</v>
      </c>
      <c r="C114" s="36" t="s">
        <v>622</v>
      </c>
      <c r="D114" s="35" t="s">
        <v>212</v>
      </c>
      <c r="E114" s="35">
        <v>0.294</v>
      </c>
      <c r="F114" s="35" t="s">
        <v>623</v>
      </c>
      <c r="G114" s="35">
        <v>0.75</v>
      </c>
      <c r="H114" s="35">
        <v>332.45</v>
      </c>
      <c r="I114" s="35" t="s">
        <v>624</v>
      </c>
      <c r="J114" s="35" t="s">
        <v>625</v>
      </c>
      <c r="K114" s="35">
        <v>1</v>
      </c>
      <c r="L114" s="35">
        <v>201</v>
      </c>
      <c r="M114" s="35">
        <f>1614</f>
        <v>1614</v>
      </c>
      <c r="N114" s="37" t="s">
        <v>619</v>
      </c>
      <c r="O114" s="37" t="s">
        <v>626</v>
      </c>
      <c r="P114" s="37">
        <f>1816+1214+807</f>
        <v>3837</v>
      </c>
      <c r="Q114" s="38"/>
      <c r="R114" s="38"/>
      <c r="S114" s="38"/>
      <c r="T114" s="38"/>
      <c r="U114" s="38"/>
    </row>
    <row r="115" spans="1:21" ht="114.75">
      <c r="A115" s="35">
        <v>93</v>
      </c>
      <c r="B115" s="35" t="s">
        <v>627</v>
      </c>
      <c r="C115" s="36" t="s">
        <v>628</v>
      </c>
      <c r="D115" s="35" t="s">
        <v>212</v>
      </c>
      <c r="E115" s="35">
        <v>0.229</v>
      </c>
      <c r="F115" s="35" t="s">
        <v>629</v>
      </c>
      <c r="G115" s="35" t="s">
        <v>630</v>
      </c>
      <c r="H115" s="35">
        <v>202.72</v>
      </c>
      <c r="I115" s="35" t="s">
        <v>631</v>
      </c>
      <c r="J115" s="35" t="s">
        <v>632</v>
      </c>
      <c r="K115" s="35">
        <v>11</v>
      </c>
      <c r="L115" s="35">
        <v>120</v>
      </c>
      <c r="M115" s="35">
        <f>117</f>
        <v>117</v>
      </c>
      <c r="N115" s="37" t="s">
        <v>365</v>
      </c>
      <c r="O115" s="37" t="s">
        <v>633</v>
      </c>
      <c r="P115" s="37">
        <f>248+89+70</f>
        <v>407</v>
      </c>
      <c r="Q115" s="38"/>
      <c r="R115" s="38"/>
      <c r="S115" s="38"/>
      <c r="T115" s="38"/>
      <c r="U115" s="38"/>
    </row>
    <row r="116" spans="1:21" ht="127.5">
      <c r="A116" s="35">
        <v>94</v>
      </c>
      <c r="B116" s="35" t="s">
        <v>634</v>
      </c>
      <c r="C116" s="36" t="s">
        <v>635</v>
      </c>
      <c r="D116" s="35" t="s">
        <v>212</v>
      </c>
      <c r="E116" s="35">
        <v>0.229</v>
      </c>
      <c r="F116" s="35" t="s">
        <v>636</v>
      </c>
      <c r="G116" s="35" t="s">
        <v>637</v>
      </c>
      <c r="H116" s="35">
        <v>474.96</v>
      </c>
      <c r="I116" s="35" t="s">
        <v>638</v>
      </c>
      <c r="J116" s="35" t="s">
        <v>639</v>
      </c>
      <c r="K116" s="35">
        <v>4</v>
      </c>
      <c r="L116" s="35">
        <v>225</v>
      </c>
      <c r="M116" s="35">
        <f>1305</f>
        <v>1305</v>
      </c>
      <c r="N116" s="37" t="s">
        <v>162</v>
      </c>
      <c r="O116" s="37" t="s">
        <v>640</v>
      </c>
      <c r="P116" s="37">
        <f>1534+1159+610</f>
        <v>3303</v>
      </c>
      <c r="Q116" s="38"/>
      <c r="R116" s="38"/>
      <c r="S116" s="38"/>
      <c r="T116" s="38"/>
      <c r="U116" s="38"/>
    </row>
    <row r="117" spans="1:21" ht="12.75">
      <c r="A117" s="51" t="s">
        <v>641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38"/>
      <c r="R117" s="38"/>
      <c r="S117" s="38"/>
      <c r="T117" s="38"/>
      <c r="U117" s="38"/>
    </row>
    <row r="118" spans="1:21" ht="102">
      <c r="A118" s="35">
        <v>95</v>
      </c>
      <c r="B118" s="35" t="s">
        <v>642</v>
      </c>
      <c r="C118" s="36" t="s">
        <v>643</v>
      </c>
      <c r="D118" s="35" t="s">
        <v>475</v>
      </c>
      <c r="E118" s="35">
        <v>0.98</v>
      </c>
      <c r="F118" s="35" t="s">
        <v>644</v>
      </c>
      <c r="G118" s="35" t="s">
        <v>645</v>
      </c>
      <c r="H118" s="35">
        <v>70.42</v>
      </c>
      <c r="I118" s="35" t="s">
        <v>646</v>
      </c>
      <c r="J118" s="35" t="s">
        <v>647</v>
      </c>
      <c r="K118" s="35" t="s">
        <v>648</v>
      </c>
      <c r="L118" s="35">
        <v>210</v>
      </c>
      <c r="M118" s="35">
        <f>7834+21</f>
        <v>7855</v>
      </c>
      <c r="N118" s="37" t="s">
        <v>481</v>
      </c>
      <c r="O118" s="37" t="s">
        <v>649</v>
      </c>
      <c r="P118" s="37">
        <f>8556+6645+5675</f>
        <v>20876</v>
      </c>
      <c r="Q118" s="38"/>
      <c r="R118" s="38"/>
      <c r="S118" s="38"/>
      <c r="T118" s="38"/>
      <c r="U118" s="38"/>
    </row>
    <row r="119" spans="1:21" ht="89.25">
      <c r="A119" s="35">
        <v>96</v>
      </c>
      <c r="B119" s="35" t="s">
        <v>650</v>
      </c>
      <c r="C119" s="36" t="s">
        <v>651</v>
      </c>
      <c r="D119" s="35" t="s">
        <v>145</v>
      </c>
      <c r="E119" s="35">
        <v>0.98</v>
      </c>
      <c r="F119" s="35">
        <v>11255</v>
      </c>
      <c r="G119" s="35"/>
      <c r="H119" s="35">
        <v>11255</v>
      </c>
      <c r="I119" s="35" t="s">
        <v>646</v>
      </c>
      <c r="J119" s="35">
        <v>33531</v>
      </c>
      <c r="K119" s="35"/>
      <c r="L119" s="35">
        <v>33531</v>
      </c>
      <c r="M119" s="35"/>
      <c r="N119" s="37"/>
      <c r="O119" s="37"/>
      <c r="P119" s="37">
        <f>33531</f>
        <v>33531</v>
      </c>
      <c r="Q119" s="38"/>
      <c r="R119" s="38"/>
      <c r="S119" s="38"/>
      <c r="T119" s="38"/>
      <c r="U119" s="38"/>
    </row>
    <row r="120" spans="1:21" ht="153">
      <c r="A120" s="35">
        <v>97</v>
      </c>
      <c r="B120" s="35" t="s">
        <v>652</v>
      </c>
      <c r="C120" s="36" t="s">
        <v>653</v>
      </c>
      <c r="D120" s="35" t="s">
        <v>654</v>
      </c>
      <c r="E120" s="35">
        <v>0.45</v>
      </c>
      <c r="F120" s="35" t="s">
        <v>655</v>
      </c>
      <c r="G120" s="35" t="s">
        <v>656</v>
      </c>
      <c r="H120" s="35">
        <v>21117.47</v>
      </c>
      <c r="I120" s="35" t="s">
        <v>657</v>
      </c>
      <c r="J120" s="35" t="s">
        <v>658</v>
      </c>
      <c r="K120" s="35" t="s">
        <v>659</v>
      </c>
      <c r="L120" s="35">
        <v>116</v>
      </c>
      <c r="M120" s="35">
        <f>4657+98</f>
        <v>4755</v>
      </c>
      <c r="N120" s="37" t="s">
        <v>331</v>
      </c>
      <c r="O120" s="37" t="s">
        <v>660</v>
      </c>
      <c r="P120" s="37">
        <f>5688+4747+2546</f>
        <v>12981</v>
      </c>
      <c r="Q120" s="38"/>
      <c r="R120" s="38"/>
      <c r="S120" s="38"/>
      <c r="T120" s="38"/>
      <c r="U120" s="38"/>
    </row>
    <row r="121" spans="1:21" ht="89.25">
      <c r="A121" s="35">
        <v>98</v>
      </c>
      <c r="B121" s="35" t="s">
        <v>140</v>
      </c>
      <c r="C121" s="36" t="s">
        <v>141</v>
      </c>
      <c r="D121" s="35" t="s">
        <v>142</v>
      </c>
      <c r="E121" s="35">
        <v>0.68</v>
      </c>
      <c r="F121" s="35">
        <v>12480</v>
      </c>
      <c r="G121" s="35"/>
      <c r="H121" s="35">
        <v>12480</v>
      </c>
      <c r="I121" s="35" t="s">
        <v>657</v>
      </c>
      <c r="J121" s="35">
        <v>18670</v>
      </c>
      <c r="K121" s="35"/>
      <c r="L121" s="35">
        <v>18670</v>
      </c>
      <c r="M121" s="35"/>
      <c r="N121" s="37"/>
      <c r="O121" s="37"/>
      <c r="P121" s="37">
        <f>18670</f>
        <v>18670</v>
      </c>
      <c r="Q121" s="38"/>
      <c r="R121" s="38"/>
      <c r="S121" s="38"/>
      <c r="T121" s="38"/>
      <c r="U121" s="38"/>
    </row>
    <row r="122" spans="1:21" ht="114.75">
      <c r="A122" s="35">
        <v>99</v>
      </c>
      <c r="B122" s="35" t="s">
        <v>627</v>
      </c>
      <c r="C122" s="36" t="s">
        <v>628</v>
      </c>
      <c r="D122" s="35" t="s">
        <v>212</v>
      </c>
      <c r="E122" s="35">
        <v>0.403</v>
      </c>
      <c r="F122" s="35" t="s">
        <v>629</v>
      </c>
      <c r="G122" s="35" t="s">
        <v>630</v>
      </c>
      <c r="H122" s="35">
        <v>202.72</v>
      </c>
      <c r="I122" s="35" t="s">
        <v>631</v>
      </c>
      <c r="J122" s="35" t="s">
        <v>661</v>
      </c>
      <c r="K122" s="35">
        <v>20</v>
      </c>
      <c r="L122" s="35">
        <v>210</v>
      </c>
      <c r="M122" s="35">
        <f>206</f>
        <v>206</v>
      </c>
      <c r="N122" s="37" t="s">
        <v>365</v>
      </c>
      <c r="O122" s="37" t="s">
        <v>662</v>
      </c>
      <c r="P122" s="37">
        <f>436+157+123</f>
        <v>716</v>
      </c>
      <c r="Q122" s="38"/>
      <c r="R122" s="38"/>
      <c r="S122" s="38"/>
      <c r="T122" s="38"/>
      <c r="U122" s="38"/>
    </row>
    <row r="123" spans="1:21" ht="127.5">
      <c r="A123" s="35">
        <v>100</v>
      </c>
      <c r="B123" s="35" t="s">
        <v>634</v>
      </c>
      <c r="C123" s="36" t="s">
        <v>663</v>
      </c>
      <c r="D123" s="35" t="s">
        <v>212</v>
      </c>
      <c r="E123" s="35">
        <v>0.403</v>
      </c>
      <c r="F123" s="35" t="s">
        <v>636</v>
      </c>
      <c r="G123" s="35" t="s">
        <v>637</v>
      </c>
      <c r="H123" s="35">
        <v>474.96</v>
      </c>
      <c r="I123" s="35" t="s">
        <v>638</v>
      </c>
      <c r="J123" s="35" t="s">
        <v>664</v>
      </c>
      <c r="K123" s="35" t="s">
        <v>665</v>
      </c>
      <c r="L123" s="35">
        <v>397</v>
      </c>
      <c r="M123" s="35">
        <f>2296+1</f>
        <v>2297</v>
      </c>
      <c r="N123" s="37" t="s">
        <v>162</v>
      </c>
      <c r="O123" s="37" t="s">
        <v>666</v>
      </c>
      <c r="P123" s="37">
        <f>2699+2040+1074</f>
        <v>5813</v>
      </c>
      <c r="Q123" s="38"/>
      <c r="R123" s="38"/>
      <c r="S123" s="38"/>
      <c r="T123" s="38"/>
      <c r="U123" s="38"/>
    </row>
    <row r="124" spans="1:21" ht="114.75">
      <c r="A124" s="35">
        <v>101</v>
      </c>
      <c r="B124" s="35" t="s">
        <v>667</v>
      </c>
      <c r="C124" s="36" t="s">
        <v>668</v>
      </c>
      <c r="D124" s="35" t="s">
        <v>212</v>
      </c>
      <c r="E124" s="35">
        <v>0.9</v>
      </c>
      <c r="F124" s="35" t="s">
        <v>669</v>
      </c>
      <c r="G124" s="35" t="s">
        <v>670</v>
      </c>
      <c r="H124" s="35">
        <v>557.83</v>
      </c>
      <c r="I124" s="35" t="s">
        <v>671</v>
      </c>
      <c r="J124" s="35" t="s">
        <v>672</v>
      </c>
      <c r="K124" s="35" t="s">
        <v>586</v>
      </c>
      <c r="L124" s="35">
        <v>1035</v>
      </c>
      <c r="M124" s="35">
        <f>1709+1</f>
        <v>1710</v>
      </c>
      <c r="N124" s="37" t="s">
        <v>162</v>
      </c>
      <c r="O124" s="37" t="s">
        <v>673</v>
      </c>
      <c r="P124" s="37">
        <f>2762+1519+799</f>
        <v>5080</v>
      </c>
      <c r="Q124" s="38"/>
      <c r="R124" s="38"/>
      <c r="S124" s="38"/>
      <c r="T124" s="38"/>
      <c r="U124" s="38"/>
    </row>
    <row r="125" spans="1:21" ht="38.25">
      <c r="A125" s="35">
        <v>102</v>
      </c>
      <c r="B125" s="35" t="s">
        <v>674</v>
      </c>
      <c r="C125" s="36" t="s">
        <v>675</v>
      </c>
      <c r="D125" s="35" t="s">
        <v>676</v>
      </c>
      <c r="E125" s="35">
        <v>25</v>
      </c>
      <c r="F125" s="35" t="s">
        <v>677</v>
      </c>
      <c r="G125" s="35"/>
      <c r="H125" s="35"/>
      <c r="I125" s="35" t="s">
        <v>678</v>
      </c>
      <c r="J125" s="35" t="s">
        <v>679</v>
      </c>
      <c r="K125" s="35"/>
      <c r="L125" s="35"/>
      <c r="M125" s="35">
        <f>1411</f>
        <v>1411</v>
      </c>
      <c r="N125" s="37" t="s">
        <v>680</v>
      </c>
      <c r="O125" s="37" t="s">
        <v>681</v>
      </c>
      <c r="P125" s="37">
        <f>1411+1035+706</f>
        <v>3152</v>
      </c>
      <c r="Q125" s="38"/>
      <c r="R125" s="38"/>
      <c r="S125" s="38"/>
      <c r="T125" s="38"/>
      <c r="U125" s="38"/>
    </row>
    <row r="126" spans="1:21" ht="38.25">
      <c r="A126" s="35">
        <v>103</v>
      </c>
      <c r="B126" s="35" t="s">
        <v>682</v>
      </c>
      <c r="C126" s="36" t="s">
        <v>683</v>
      </c>
      <c r="D126" s="35" t="s">
        <v>676</v>
      </c>
      <c r="E126" s="35">
        <v>25</v>
      </c>
      <c r="F126" s="35">
        <v>66.9</v>
      </c>
      <c r="G126" s="35">
        <v>66.9</v>
      </c>
      <c r="H126" s="35"/>
      <c r="I126" s="35" t="s">
        <v>684</v>
      </c>
      <c r="J126" s="35">
        <v>6991</v>
      </c>
      <c r="K126" s="35">
        <v>6991</v>
      </c>
      <c r="L126" s="35"/>
      <c r="M126" s="35"/>
      <c r="N126" s="37"/>
      <c r="O126" s="37"/>
      <c r="P126" s="37">
        <f>6991</f>
        <v>6991</v>
      </c>
      <c r="Q126" s="38"/>
      <c r="R126" s="38"/>
      <c r="S126" s="38"/>
      <c r="T126" s="38"/>
      <c r="U126" s="38"/>
    </row>
    <row r="127" spans="1:21" ht="89.25">
      <c r="A127" s="35">
        <v>104</v>
      </c>
      <c r="B127" s="35" t="s">
        <v>685</v>
      </c>
      <c r="C127" s="36" t="s">
        <v>686</v>
      </c>
      <c r="D127" s="35" t="s">
        <v>687</v>
      </c>
      <c r="E127" s="35">
        <v>2</v>
      </c>
      <c r="F127" s="35" t="s">
        <v>688</v>
      </c>
      <c r="G127" s="35">
        <v>6.9</v>
      </c>
      <c r="H127" s="35">
        <v>40.56</v>
      </c>
      <c r="I127" s="35" t="s">
        <v>689</v>
      </c>
      <c r="J127" s="35" t="s">
        <v>690</v>
      </c>
      <c r="K127" s="35">
        <v>78</v>
      </c>
      <c r="L127" s="35">
        <v>308</v>
      </c>
      <c r="M127" s="35">
        <f>190</f>
        <v>190</v>
      </c>
      <c r="N127" s="37" t="s">
        <v>691</v>
      </c>
      <c r="O127" s="37" t="s">
        <v>692</v>
      </c>
      <c r="P127" s="37">
        <f>576+206+134</f>
        <v>916</v>
      </c>
      <c r="Q127" s="38"/>
      <c r="R127" s="38"/>
      <c r="S127" s="38"/>
      <c r="T127" s="38"/>
      <c r="U127" s="38"/>
    </row>
    <row r="128" spans="1:21" ht="102">
      <c r="A128" s="35">
        <v>105</v>
      </c>
      <c r="B128" s="35" t="s">
        <v>693</v>
      </c>
      <c r="C128" s="36" t="s">
        <v>694</v>
      </c>
      <c r="D128" s="35" t="s">
        <v>558</v>
      </c>
      <c r="E128" s="35">
        <v>2</v>
      </c>
      <c r="F128" s="35" t="s">
        <v>695</v>
      </c>
      <c r="G128" s="35">
        <v>6.9</v>
      </c>
      <c r="H128" s="35">
        <v>63.97</v>
      </c>
      <c r="I128" s="35" t="s">
        <v>696</v>
      </c>
      <c r="J128" s="35" t="s">
        <v>697</v>
      </c>
      <c r="K128" s="35">
        <v>78</v>
      </c>
      <c r="L128" s="35">
        <v>423</v>
      </c>
      <c r="M128" s="35">
        <f>190</f>
        <v>190</v>
      </c>
      <c r="N128" s="37" t="s">
        <v>691</v>
      </c>
      <c r="O128" s="37" t="s">
        <v>692</v>
      </c>
      <c r="P128" s="37">
        <f>691+206+134</f>
        <v>1031</v>
      </c>
      <c r="Q128" s="38"/>
      <c r="R128" s="38"/>
      <c r="S128" s="38"/>
      <c r="T128" s="38"/>
      <c r="U128" s="38"/>
    </row>
    <row r="129" spans="1:21" ht="102">
      <c r="A129" s="35">
        <v>106</v>
      </c>
      <c r="B129" s="35" t="s">
        <v>698</v>
      </c>
      <c r="C129" s="36" t="s">
        <v>699</v>
      </c>
      <c r="D129" s="35" t="s">
        <v>700</v>
      </c>
      <c r="E129" s="35">
        <v>0.032</v>
      </c>
      <c r="F129" s="35" t="s">
        <v>701</v>
      </c>
      <c r="G129" s="35" t="s">
        <v>702</v>
      </c>
      <c r="H129" s="35">
        <v>20665.12</v>
      </c>
      <c r="I129" s="35" t="s">
        <v>703</v>
      </c>
      <c r="J129" s="35" t="s">
        <v>704</v>
      </c>
      <c r="K129" s="35" t="s">
        <v>705</v>
      </c>
      <c r="L129" s="35">
        <v>1713</v>
      </c>
      <c r="M129" s="35">
        <f>849+1</f>
        <v>850</v>
      </c>
      <c r="N129" s="37" t="s">
        <v>162</v>
      </c>
      <c r="O129" s="37" t="s">
        <v>706</v>
      </c>
      <c r="P129" s="37">
        <f>2585+755+397</f>
        <v>3737</v>
      </c>
      <c r="Q129" s="38"/>
      <c r="R129" s="38"/>
      <c r="S129" s="38"/>
      <c r="T129" s="38"/>
      <c r="U129" s="38"/>
    </row>
    <row r="130" spans="1:21" ht="12.75">
      <c r="A130" s="51" t="s">
        <v>707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38"/>
      <c r="R130" s="38"/>
      <c r="S130" s="38"/>
      <c r="T130" s="38"/>
      <c r="U130" s="38"/>
    </row>
    <row r="131" spans="1:21" ht="76.5">
      <c r="A131" s="35">
        <v>107</v>
      </c>
      <c r="B131" s="35" t="s">
        <v>708</v>
      </c>
      <c r="C131" s="36" t="s">
        <v>709</v>
      </c>
      <c r="D131" s="35" t="s">
        <v>710</v>
      </c>
      <c r="E131" s="35">
        <v>0.01</v>
      </c>
      <c r="F131" s="35" t="s">
        <v>711</v>
      </c>
      <c r="G131" s="35" t="s">
        <v>712</v>
      </c>
      <c r="H131" s="35"/>
      <c r="I131" s="35" t="s">
        <v>713</v>
      </c>
      <c r="J131" s="35" t="s">
        <v>714</v>
      </c>
      <c r="K131" s="35"/>
      <c r="L131" s="35"/>
      <c r="M131" s="35">
        <f>43</f>
        <v>43</v>
      </c>
      <c r="N131" s="37" t="s">
        <v>691</v>
      </c>
      <c r="O131" s="37" t="s">
        <v>715</v>
      </c>
      <c r="P131" s="37">
        <f>43+30+22</f>
        <v>95</v>
      </c>
      <c r="Q131" s="38"/>
      <c r="R131" s="38"/>
      <c r="S131" s="38"/>
      <c r="T131" s="38"/>
      <c r="U131" s="38"/>
    </row>
    <row r="132" spans="1:21" ht="76.5">
      <c r="A132" s="35">
        <v>108</v>
      </c>
      <c r="B132" s="35" t="s">
        <v>716</v>
      </c>
      <c r="C132" s="36" t="s">
        <v>717</v>
      </c>
      <c r="D132" s="35" t="s">
        <v>710</v>
      </c>
      <c r="E132" s="35">
        <v>0.01</v>
      </c>
      <c r="F132" s="35" t="s">
        <v>718</v>
      </c>
      <c r="G132" s="35" t="s">
        <v>719</v>
      </c>
      <c r="H132" s="35"/>
      <c r="I132" s="35" t="s">
        <v>720</v>
      </c>
      <c r="J132" s="35" t="s">
        <v>721</v>
      </c>
      <c r="K132" s="35"/>
      <c r="L132" s="35"/>
      <c r="M132" s="35">
        <f>25</f>
        <v>25</v>
      </c>
      <c r="N132" s="37" t="s">
        <v>691</v>
      </c>
      <c r="O132" s="37" t="s">
        <v>722</v>
      </c>
      <c r="P132" s="37">
        <f>25+17+13</f>
        <v>55</v>
      </c>
      <c r="Q132" s="38"/>
      <c r="R132" s="38"/>
      <c r="S132" s="38"/>
      <c r="T132" s="38"/>
      <c r="U132" s="38"/>
    </row>
    <row r="133" spans="1:21" ht="76.5">
      <c r="A133" s="35">
        <v>109</v>
      </c>
      <c r="B133" s="35" t="s">
        <v>723</v>
      </c>
      <c r="C133" s="36" t="s">
        <v>724</v>
      </c>
      <c r="D133" s="35" t="s">
        <v>710</v>
      </c>
      <c r="E133" s="35">
        <v>0.02</v>
      </c>
      <c r="F133" s="35" t="s">
        <v>725</v>
      </c>
      <c r="G133" s="35" t="s">
        <v>719</v>
      </c>
      <c r="H133" s="35"/>
      <c r="I133" s="35" t="s">
        <v>726</v>
      </c>
      <c r="J133" s="35" t="s">
        <v>727</v>
      </c>
      <c r="K133" s="35" t="s">
        <v>728</v>
      </c>
      <c r="L133" s="35"/>
      <c r="M133" s="35">
        <f>69+1</f>
        <v>70</v>
      </c>
      <c r="N133" s="37" t="s">
        <v>691</v>
      </c>
      <c r="O133" s="37" t="s">
        <v>729</v>
      </c>
      <c r="P133" s="37">
        <f>70+49+35</f>
        <v>154</v>
      </c>
      <c r="Q133" s="38"/>
      <c r="R133" s="38"/>
      <c r="S133" s="38"/>
      <c r="T133" s="38"/>
      <c r="U133" s="38"/>
    </row>
    <row r="134" spans="1:21" ht="76.5">
      <c r="A134" s="35">
        <v>110</v>
      </c>
      <c r="B134" s="35" t="s">
        <v>730</v>
      </c>
      <c r="C134" s="36" t="s">
        <v>731</v>
      </c>
      <c r="D134" s="35" t="s">
        <v>732</v>
      </c>
      <c r="E134" s="35">
        <v>0.02</v>
      </c>
      <c r="F134" s="35" t="s">
        <v>733</v>
      </c>
      <c r="G134" s="35" t="s">
        <v>734</v>
      </c>
      <c r="H134" s="35"/>
      <c r="I134" s="35" t="s">
        <v>735</v>
      </c>
      <c r="J134" s="35" t="s">
        <v>736</v>
      </c>
      <c r="K134" s="35"/>
      <c r="L134" s="35"/>
      <c r="M134" s="35">
        <f>49</f>
        <v>49</v>
      </c>
      <c r="N134" s="37" t="s">
        <v>691</v>
      </c>
      <c r="O134" s="37" t="s">
        <v>737</v>
      </c>
      <c r="P134" s="37">
        <f>49+34+25</f>
        <v>108</v>
      </c>
      <c r="Q134" s="38"/>
      <c r="R134" s="38"/>
      <c r="S134" s="38"/>
      <c r="T134" s="38"/>
      <c r="U134" s="38"/>
    </row>
    <row r="135" spans="1:21" ht="76.5">
      <c r="A135" s="35">
        <v>111</v>
      </c>
      <c r="B135" s="35" t="s">
        <v>738</v>
      </c>
      <c r="C135" s="36" t="s">
        <v>739</v>
      </c>
      <c r="D135" s="35" t="s">
        <v>732</v>
      </c>
      <c r="E135" s="35">
        <v>0.05</v>
      </c>
      <c r="F135" s="35" t="s">
        <v>740</v>
      </c>
      <c r="G135" s="35" t="s">
        <v>741</v>
      </c>
      <c r="H135" s="35"/>
      <c r="I135" s="35" t="s">
        <v>742</v>
      </c>
      <c r="J135" s="35" t="s">
        <v>743</v>
      </c>
      <c r="K135" s="35"/>
      <c r="L135" s="35"/>
      <c r="M135" s="35">
        <f>19</f>
        <v>19</v>
      </c>
      <c r="N135" s="37" t="s">
        <v>691</v>
      </c>
      <c r="O135" s="37" t="s">
        <v>744</v>
      </c>
      <c r="P135" s="37">
        <f>19+13+10</f>
        <v>42</v>
      </c>
      <c r="Q135" s="38"/>
      <c r="R135" s="38"/>
      <c r="S135" s="38"/>
      <c r="T135" s="38"/>
      <c r="U135" s="38"/>
    </row>
    <row r="136" spans="1:21" ht="89.25">
      <c r="A136" s="35">
        <v>112</v>
      </c>
      <c r="B136" s="35" t="s">
        <v>745</v>
      </c>
      <c r="C136" s="36" t="s">
        <v>746</v>
      </c>
      <c r="D136" s="35" t="s">
        <v>747</v>
      </c>
      <c r="E136" s="35">
        <v>0.126</v>
      </c>
      <c r="F136" s="35" t="s">
        <v>748</v>
      </c>
      <c r="G136" s="35" t="s">
        <v>749</v>
      </c>
      <c r="H136" s="35">
        <v>33.6</v>
      </c>
      <c r="I136" s="35" t="s">
        <v>750</v>
      </c>
      <c r="J136" s="35" t="s">
        <v>751</v>
      </c>
      <c r="K136" s="35" t="s">
        <v>752</v>
      </c>
      <c r="L136" s="35">
        <v>14</v>
      </c>
      <c r="M136" s="35">
        <f>286+1</f>
        <v>287</v>
      </c>
      <c r="N136" s="37" t="s">
        <v>753</v>
      </c>
      <c r="O136" s="37" t="s">
        <v>754</v>
      </c>
      <c r="P136" s="37">
        <f>304+200+144</f>
        <v>648</v>
      </c>
      <c r="Q136" s="38"/>
      <c r="R136" s="38"/>
      <c r="S136" s="38"/>
      <c r="T136" s="38"/>
      <c r="U136" s="38"/>
    </row>
    <row r="137" spans="1:21" ht="76.5">
      <c r="A137" s="35">
        <v>113</v>
      </c>
      <c r="B137" s="35" t="s">
        <v>755</v>
      </c>
      <c r="C137" s="36" t="s">
        <v>756</v>
      </c>
      <c r="D137" s="35" t="s">
        <v>757</v>
      </c>
      <c r="E137" s="35">
        <v>0.042</v>
      </c>
      <c r="F137" s="35" t="s">
        <v>758</v>
      </c>
      <c r="G137" s="35" t="s">
        <v>759</v>
      </c>
      <c r="H137" s="35"/>
      <c r="I137" s="35" t="s">
        <v>760</v>
      </c>
      <c r="J137" s="35" t="s">
        <v>761</v>
      </c>
      <c r="K137" s="35" t="s">
        <v>728</v>
      </c>
      <c r="L137" s="35"/>
      <c r="M137" s="35">
        <f>192+1</f>
        <v>193</v>
      </c>
      <c r="N137" s="37" t="s">
        <v>753</v>
      </c>
      <c r="O137" s="37" t="s">
        <v>762</v>
      </c>
      <c r="P137" s="37">
        <f>193+134+97</f>
        <v>424</v>
      </c>
      <c r="Q137" s="38"/>
      <c r="R137" s="38"/>
      <c r="S137" s="38"/>
      <c r="T137" s="38"/>
      <c r="U137" s="38"/>
    </row>
    <row r="138" spans="1:21" ht="76.5">
      <c r="A138" s="35">
        <v>114</v>
      </c>
      <c r="B138" s="35" t="s">
        <v>763</v>
      </c>
      <c r="C138" s="36" t="s">
        <v>764</v>
      </c>
      <c r="D138" s="35" t="s">
        <v>765</v>
      </c>
      <c r="E138" s="35">
        <v>0.042</v>
      </c>
      <c r="F138" s="35" t="s">
        <v>766</v>
      </c>
      <c r="G138" s="35" t="s">
        <v>767</v>
      </c>
      <c r="H138" s="35"/>
      <c r="I138" s="35" t="s">
        <v>768</v>
      </c>
      <c r="J138" s="35" t="s">
        <v>769</v>
      </c>
      <c r="K138" s="35" t="s">
        <v>770</v>
      </c>
      <c r="L138" s="35"/>
      <c r="M138" s="35">
        <f>144+40</f>
        <v>184</v>
      </c>
      <c r="N138" s="37" t="s">
        <v>14</v>
      </c>
      <c r="O138" s="37" t="s">
        <v>771</v>
      </c>
      <c r="P138" s="37">
        <f>434+171+109</f>
        <v>714</v>
      </c>
      <c r="Q138" s="38"/>
      <c r="R138" s="38"/>
      <c r="S138" s="38"/>
      <c r="T138" s="38"/>
      <c r="U138" s="38"/>
    </row>
    <row r="139" spans="1:21" ht="127.5">
      <c r="A139" s="35">
        <v>115</v>
      </c>
      <c r="B139" s="35" t="s">
        <v>772</v>
      </c>
      <c r="C139" s="36" t="s">
        <v>773</v>
      </c>
      <c r="D139" s="35" t="s">
        <v>774</v>
      </c>
      <c r="E139" s="35">
        <v>0.105</v>
      </c>
      <c r="F139" s="35" t="s">
        <v>775</v>
      </c>
      <c r="G139" s="35" t="s">
        <v>776</v>
      </c>
      <c r="H139" s="35">
        <v>10304.24</v>
      </c>
      <c r="I139" s="35" t="s">
        <v>777</v>
      </c>
      <c r="J139" s="35" t="s">
        <v>778</v>
      </c>
      <c r="K139" s="35" t="s">
        <v>779</v>
      </c>
      <c r="L139" s="35">
        <v>1687</v>
      </c>
      <c r="M139" s="35">
        <f>1040+1</f>
        <v>1041</v>
      </c>
      <c r="N139" s="37" t="s">
        <v>691</v>
      </c>
      <c r="O139" s="37" t="s">
        <v>780</v>
      </c>
      <c r="P139" s="37">
        <f>2798+1127+734</f>
        <v>4659</v>
      </c>
      <c r="Q139" s="38"/>
      <c r="R139" s="38"/>
      <c r="S139" s="38"/>
      <c r="T139" s="38"/>
      <c r="U139" s="38"/>
    </row>
    <row r="140" spans="1:21" ht="127.5">
      <c r="A140" s="35">
        <v>116</v>
      </c>
      <c r="B140" s="35" t="s">
        <v>781</v>
      </c>
      <c r="C140" s="36" t="s">
        <v>782</v>
      </c>
      <c r="D140" s="35" t="s">
        <v>783</v>
      </c>
      <c r="E140" s="35">
        <v>1</v>
      </c>
      <c r="F140" s="35" t="s">
        <v>784</v>
      </c>
      <c r="G140" s="35">
        <v>4.82</v>
      </c>
      <c r="H140" s="35">
        <v>24.56</v>
      </c>
      <c r="I140" s="35" t="s">
        <v>785</v>
      </c>
      <c r="J140" s="35" t="s">
        <v>786</v>
      </c>
      <c r="K140" s="35">
        <v>29</v>
      </c>
      <c r="L140" s="35">
        <v>76</v>
      </c>
      <c r="M140" s="35">
        <f>400</f>
        <v>400</v>
      </c>
      <c r="N140" s="37" t="s">
        <v>691</v>
      </c>
      <c r="O140" s="37" t="s">
        <v>787</v>
      </c>
      <c r="P140" s="37">
        <f>505+433+282</f>
        <v>1220</v>
      </c>
      <c r="Q140" s="38"/>
      <c r="R140" s="38"/>
      <c r="S140" s="38"/>
      <c r="T140" s="38"/>
      <c r="U140" s="38"/>
    </row>
    <row r="141" spans="1:21" ht="127.5">
      <c r="A141" s="35">
        <v>117</v>
      </c>
      <c r="B141" s="35" t="s">
        <v>788</v>
      </c>
      <c r="C141" s="36" t="s">
        <v>789</v>
      </c>
      <c r="D141" s="35" t="s">
        <v>774</v>
      </c>
      <c r="E141" s="35">
        <v>0.034</v>
      </c>
      <c r="F141" s="35" t="s">
        <v>790</v>
      </c>
      <c r="G141" s="35" t="s">
        <v>791</v>
      </c>
      <c r="H141" s="35">
        <v>4408.3</v>
      </c>
      <c r="I141" s="35" t="s">
        <v>792</v>
      </c>
      <c r="J141" s="35" t="s">
        <v>793</v>
      </c>
      <c r="K141" s="35">
        <v>2</v>
      </c>
      <c r="L141" s="35">
        <v>370</v>
      </c>
      <c r="M141" s="35">
        <f>196</f>
        <v>196</v>
      </c>
      <c r="N141" s="37" t="s">
        <v>691</v>
      </c>
      <c r="O141" s="37" t="s">
        <v>794</v>
      </c>
      <c r="P141" s="37">
        <f>568+212+138</f>
        <v>918</v>
      </c>
      <c r="Q141" s="38"/>
      <c r="R141" s="38"/>
      <c r="S141" s="38"/>
      <c r="T141" s="38"/>
      <c r="U141" s="38"/>
    </row>
    <row r="142" spans="1:21" ht="127.5">
      <c r="A142" s="35">
        <v>118</v>
      </c>
      <c r="B142" s="35" t="s">
        <v>795</v>
      </c>
      <c r="C142" s="36" t="s">
        <v>796</v>
      </c>
      <c r="D142" s="35" t="s">
        <v>783</v>
      </c>
      <c r="E142" s="35">
        <v>1</v>
      </c>
      <c r="F142" s="35" t="s">
        <v>797</v>
      </c>
      <c r="G142" s="35">
        <v>0.75</v>
      </c>
      <c r="H142" s="35">
        <v>70.1</v>
      </c>
      <c r="I142" s="35" t="s">
        <v>798</v>
      </c>
      <c r="J142" s="35" t="s">
        <v>799</v>
      </c>
      <c r="K142" s="35">
        <v>5</v>
      </c>
      <c r="L142" s="35">
        <v>147</v>
      </c>
      <c r="M142" s="35">
        <f>544</f>
        <v>544</v>
      </c>
      <c r="N142" s="37" t="s">
        <v>691</v>
      </c>
      <c r="O142" s="37" t="s">
        <v>800</v>
      </c>
      <c r="P142" s="37">
        <f>696+589+384</f>
        <v>1669</v>
      </c>
      <c r="Q142" s="38"/>
      <c r="R142" s="38"/>
      <c r="S142" s="38"/>
      <c r="T142" s="38"/>
      <c r="U142" s="38"/>
    </row>
    <row r="143" spans="1:21" ht="89.25">
      <c r="A143" s="35">
        <v>119</v>
      </c>
      <c r="B143" s="35" t="s">
        <v>801</v>
      </c>
      <c r="C143" s="36" t="s">
        <v>802</v>
      </c>
      <c r="D143" s="35" t="s">
        <v>710</v>
      </c>
      <c r="E143" s="35">
        <v>0.05</v>
      </c>
      <c r="F143" s="35" t="s">
        <v>803</v>
      </c>
      <c r="G143" s="35" t="s">
        <v>804</v>
      </c>
      <c r="H143" s="35">
        <v>3437.23</v>
      </c>
      <c r="I143" s="35" t="s">
        <v>805</v>
      </c>
      <c r="J143" s="35" t="s">
        <v>806</v>
      </c>
      <c r="K143" s="35">
        <v>1</v>
      </c>
      <c r="L143" s="35">
        <v>396</v>
      </c>
      <c r="M143" s="35">
        <f>322</f>
        <v>322</v>
      </c>
      <c r="N143" s="37" t="s">
        <v>753</v>
      </c>
      <c r="O143" s="37" t="s">
        <v>807</v>
      </c>
      <c r="P143" s="37">
        <f>719+312+193</f>
        <v>1224</v>
      </c>
      <c r="Q143" s="38"/>
      <c r="R143" s="38"/>
      <c r="S143" s="38"/>
      <c r="T143" s="38"/>
      <c r="U143" s="38"/>
    </row>
    <row r="144" spans="1:21" ht="114.75">
      <c r="A144" s="35">
        <v>120</v>
      </c>
      <c r="B144" s="35" t="s">
        <v>808</v>
      </c>
      <c r="C144" s="36" t="s">
        <v>809</v>
      </c>
      <c r="D144" s="35" t="s">
        <v>810</v>
      </c>
      <c r="E144" s="35">
        <v>0.1</v>
      </c>
      <c r="F144" s="35" t="s">
        <v>811</v>
      </c>
      <c r="G144" s="35" t="s">
        <v>812</v>
      </c>
      <c r="H144" s="35">
        <v>3423.53</v>
      </c>
      <c r="I144" s="35" t="s">
        <v>813</v>
      </c>
      <c r="J144" s="35" t="s">
        <v>814</v>
      </c>
      <c r="K144" s="35" t="s">
        <v>815</v>
      </c>
      <c r="L144" s="35">
        <v>1196</v>
      </c>
      <c r="M144" s="35">
        <f>212+4</f>
        <v>216</v>
      </c>
      <c r="N144" s="37" t="s">
        <v>691</v>
      </c>
      <c r="O144" s="37" t="s">
        <v>816</v>
      </c>
      <c r="P144" s="37">
        <f>1433+234+152</f>
        <v>1819</v>
      </c>
      <c r="Q144" s="38"/>
      <c r="R144" s="38"/>
      <c r="S144" s="38"/>
      <c r="T144" s="38"/>
      <c r="U144" s="38"/>
    </row>
    <row r="145" spans="1:21" ht="25.5">
      <c r="A145" s="35">
        <v>121</v>
      </c>
      <c r="B145" s="35" t="s">
        <v>501</v>
      </c>
      <c r="C145" s="36" t="s">
        <v>817</v>
      </c>
      <c r="D145" s="35" t="s">
        <v>558</v>
      </c>
      <c r="E145" s="35">
        <v>1</v>
      </c>
      <c r="F145" s="35">
        <v>120</v>
      </c>
      <c r="G145" s="35"/>
      <c r="H145" s="35">
        <v>120</v>
      </c>
      <c r="I145" s="35" t="s">
        <v>503</v>
      </c>
      <c r="J145" s="35">
        <v>120</v>
      </c>
      <c r="K145" s="35"/>
      <c r="L145" s="35">
        <v>120</v>
      </c>
      <c r="M145" s="35"/>
      <c r="N145" s="37"/>
      <c r="O145" s="37"/>
      <c r="P145" s="37">
        <f>120</f>
        <v>120</v>
      </c>
      <c r="Q145" s="38"/>
      <c r="R145" s="38"/>
      <c r="S145" s="38"/>
      <c r="T145" s="38"/>
      <c r="U145" s="38"/>
    </row>
    <row r="146" spans="1:21" ht="114.75">
      <c r="A146" s="35">
        <v>122</v>
      </c>
      <c r="B146" s="35" t="s">
        <v>818</v>
      </c>
      <c r="C146" s="36" t="s">
        <v>819</v>
      </c>
      <c r="D146" s="35" t="s">
        <v>810</v>
      </c>
      <c r="E146" s="35">
        <v>0.1</v>
      </c>
      <c r="F146" s="35" t="s">
        <v>820</v>
      </c>
      <c r="G146" s="35" t="s">
        <v>821</v>
      </c>
      <c r="H146" s="35">
        <v>1377.36</v>
      </c>
      <c r="I146" s="35" t="s">
        <v>822</v>
      </c>
      <c r="J146" s="35" t="s">
        <v>823</v>
      </c>
      <c r="K146" s="35" t="s">
        <v>824</v>
      </c>
      <c r="L146" s="35">
        <v>585</v>
      </c>
      <c r="M146" s="35">
        <f>189+2</f>
        <v>191</v>
      </c>
      <c r="N146" s="37" t="s">
        <v>691</v>
      </c>
      <c r="O146" s="37" t="s">
        <v>825</v>
      </c>
      <c r="P146" s="37">
        <f>789+207+135</f>
        <v>1131</v>
      </c>
      <c r="Q146" s="38"/>
      <c r="R146" s="38"/>
      <c r="S146" s="38"/>
      <c r="T146" s="38"/>
      <c r="U146" s="38"/>
    </row>
    <row r="147" spans="1:21" ht="102">
      <c r="A147" s="35">
        <v>123</v>
      </c>
      <c r="B147" s="35" t="s">
        <v>826</v>
      </c>
      <c r="C147" s="36" t="s">
        <v>827</v>
      </c>
      <c r="D147" s="35" t="s">
        <v>810</v>
      </c>
      <c r="E147" s="35">
        <v>0.1</v>
      </c>
      <c r="F147" s="35" t="s">
        <v>828</v>
      </c>
      <c r="G147" s="35" t="s">
        <v>829</v>
      </c>
      <c r="H147" s="35">
        <v>2893.54</v>
      </c>
      <c r="I147" s="35" t="s">
        <v>830</v>
      </c>
      <c r="J147" s="35" t="s">
        <v>831</v>
      </c>
      <c r="K147" s="35" t="s">
        <v>832</v>
      </c>
      <c r="L147" s="35">
        <v>645</v>
      </c>
      <c r="M147" s="35">
        <f>151+2</f>
        <v>153</v>
      </c>
      <c r="N147" s="37" t="s">
        <v>691</v>
      </c>
      <c r="O147" s="37" t="s">
        <v>833</v>
      </c>
      <c r="P147" s="37">
        <f>807+166+108</f>
        <v>1081</v>
      </c>
      <c r="Q147" s="38"/>
      <c r="R147" s="38"/>
      <c r="S147" s="38"/>
      <c r="T147" s="38"/>
      <c r="U147" s="38"/>
    </row>
    <row r="148" spans="1:21" ht="25.5">
      <c r="A148" s="35">
        <v>124</v>
      </c>
      <c r="B148" s="35" t="s">
        <v>501</v>
      </c>
      <c r="C148" s="36" t="s">
        <v>834</v>
      </c>
      <c r="D148" s="35" t="s">
        <v>558</v>
      </c>
      <c r="E148" s="35">
        <v>2</v>
      </c>
      <c r="F148" s="35">
        <v>98</v>
      </c>
      <c r="G148" s="35"/>
      <c r="H148" s="35">
        <v>98</v>
      </c>
      <c r="I148" s="35" t="s">
        <v>503</v>
      </c>
      <c r="J148" s="35">
        <v>196</v>
      </c>
      <c r="K148" s="35"/>
      <c r="L148" s="35">
        <v>196</v>
      </c>
      <c r="M148" s="35"/>
      <c r="N148" s="37"/>
      <c r="O148" s="37"/>
      <c r="P148" s="37">
        <f>196</f>
        <v>196</v>
      </c>
      <c r="Q148" s="38"/>
      <c r="R148" s="38"/>
      <c r="S148" s="38"/>
      <c r="T148" s="38"/>
      <c r="U148" s="38"/>
    </row>
    <row r="149" spans="1:21" ht="89.25">
      <c r="A149" s="35">
        <v>125</v>
      </c>
      <c r="B149" s="35" t="s">
        <v>835</v>
      </c>
      <c r="C149" s="36" t="s">
        <v>836</v>
      </c>
      <c r="D149" s="35" t="s">
        <v>837</v>
      </c>
      <c r="E149" s="35">
        <v>0.2</v>
      </c>
      <c r="F149" s="35" t="s">
        <v>838</v>
      </c>
      <c r="G149" s="35">
        <v>1.92</v>
      </c>
      <c r="H149" s="35">
        <v>1445.42</v>
      </c>
      <c r="I149" s="35" t="s">
        <v>839</v>
      </c>
      <c r="J149" s="35" t="s">
        <v>840</v>
      </c>
      <c r="K149" s="35">
        <v>2</v>
      </c>
      <c r="L149" s="35">
        <v>844</v>
      </c>
      <c r="M149" s="35">
        <f>122</f>
        <v>122</v>
      </c>
      <c r="N149" s="37" t="s">
        <v>691</v>
      </c>
      <c r="O149" s="37" t="s">
        <v>841</v>
      </c>
      <c r="P149" s="37">
        <f>968+132+86</f>
        <v>1186</v>
      </c>
      <c r="Q149" s="38"/>
      <c r="R149" s="38"/>
      <c r="S149" s="38"/>
      <c r="T149" s="38"/>
      <c r="U149" s="38"/>
    </row>
    <row r="150" spans="1:21" ht="89.25">
      <c r="A150" s="35">
        <v>126</v>
      </c>
      <c r="B150" s="35" t="s">
        <v>842</v>
      </c>
      <c r="C150" s="36" t="s">
        <v>843</v>
      </c>
      <c r="D150" s="35" t="s">
        <v>710</v>
      </c>
      <c r="E150" s="35">
        <v>0.02</v>
      </c>
      <c r="F150" s="35" t="s">
        <v>844</v>
      </c>
      <c r="G150" s="35" t="s">
        <v>845</v>
      </c>
      <c r="H150" s="35">
        <v>2946.66</v>
      </c>
      <c r="I150" s="35" t="s">
        <v>846</v>
      </c>
      <c r="J150" s="35" t="s">
        <v>847</v>
      </c>
      <c r="K150" s="35">
        <v>1</v>
      </c>
      <c r="L150" s="35">
        <v>142</v>
      </c>
      <c r="M150" s="35">
        <f>109</f>
        <v>109</v>
      </c>
      <c r="N150" s="37" t="s">
        <v>691</v>
      </c>
      <c r="O150" s="37" t="s">
        <v>848</v>
      </c>
      <c r="P150" s="37">
        <f>252+106+65</f>
        <v>423</v>
      </c>
      <c r="Q150" s="38"/>
      <c r="R150" s="38"/>
      <c r="S150" s="38"/>
      <c r="T150" s="38"/>
      <c r="U150" s="38"/>
    </row>
    <row r="151" spans="1:21" ht="89.25">
      <c r="A151" s="35">
        <v>127</v>
      </c>
      <c r="B151" s="35" t="s">
        <v>849</v>
      </c>
      <c r="C151" s="36" t="s">
        <v>850</v>
      </c>
      <c r="D151" s="35" t="s">
        <v>710</v>
      </c>
      <c r="E151" s="35">
        <v>0.05</v>
      </c>
      <c r="F151" s="35" t="s">
        <v>851</v>
      </c>
      <c r="G151" s="35" t="s">
        <v>804</v>
      </c>
      <c r="H151" s="35">
        <v>2045</v>
      </c>
      <c r="I151" s="35" t="s">
        <v>852</v>
      </c>
      <c r="J151" s="35" t="s">
        <v>853</v>
      </c>
      <c r="K151" s="35">
        <v>1</v>
      </c>
      <c r="L151" s="35">
        <v>225</v>
      </c>
      <c r="M151" s="35">
        <f>187</f>
        <v>187</v>
      </c>
      <c r="N151" s="37" t="s">
        <v>691</v>
      </c>
      <c r="O151" s="37" t="s">
        <v>854</v>
      </c>
      <c r="P151" s="37">
        <f>413+181+112</f>
        <v>706</v>
      </c>
      <c r="Q151" s="38"/>
      <c r="R151" s="38"/>
      <c r="S151" s="38"/>
      <c r="T151" s="38"/>
      <c r="U151" s="38"/>
    </row>
    <row r="152" spans="1:21" ht="89.25">
      <c r="A152" s="35">
        <v>128</v>
      </c>
      <c r="B152" s="35" t="s">
        <v>855</v>
      </c>
      <c r="C152" s="36" t="s">
        <v>856</v>
      </c>
      <c r="D152" s="35" t="s">
        <v>857</v>
      </c>
      <c r="E152" s="35">
        <v>0.04</v>
      </c>
      <c r="F152" s="35" t="s">
        <v>858</v>
      </c>
      <c r="G152" s="35">
        <v>32.81</v>
      </c>
      <c r="H152" s="35">
        <v>1686.99</v>
      </c>
      <c r="I152" s="35" t="s">
        <v>859</v>
      </c>
      <c r="J152" s="35" t="s">
        <v>860</v>
      </c>
      <c r="K152" s="35">
        <v>7</v>
      </c>
      <c r="L152" s="35">
        <v>232</v>
      </c>
      <c r="M152" s="35">
        <f>192</f>
        <v>192</v>
      </c>
      <c r="N152" s="37" t="s">
        <v>14</v>
      </c>
      <c r="O152" s="37" t="s">
        <v>861</v>
      </c>
      <c r="P152" s="37">
        <f>431+179+114</f>
        <v>724</v>
      </c>
      <c r="Q152" s="38"/>
      <c r="R152" s="38"/>
      <c r="S152" s="38"/>
      <c r="T152" s="38"/>
      <c r="U152" s="38"/>
    </row>
    <row r="153" spans="1:21" ht="12.75">
      <c r="A153" s="51" t="s">
        <v>862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38"/>
      <c r="R153" s="38"/>
      <c r="S153" s="38"/>
      <c r="T153" s="38"/>
      <c r="U153" s="38"/>
    </row>
    <row r="154" spans="1:21" ht="76.5">
      <c r="A154" s="35">
        <v>129</v>
      </c>
      <c r="B154" s="35" t="s">
        <v>863</v>
      </c>
      <c r="C154" s="36" t="s">
        <v>864</v>
      </c>
      <c r="D154" s="35" t="s">
        <v>865</v>
      </c>
      <c r="E154" s="35">
        <v>0.11</v>
      </c>
      <c r="F154" s="35" t="s">
        <v>866</v>
      </c>
      <c r="G154" s="35" t="s">
        <v>867</v>
      </c>
      <c r="H154" s="35"/>
      <c r="I154" s="35" t="s">
        <v>868</v>
      </c>
      <c r="J154" s="35" t="s">
        <v>869</v>
      </c>
      <c r="K154" s="35"/>
      <c r="L154" s="35"/>
      <c r="M154" s="35">
        <f>73</f>
        <v>73</v>
      </c>
      <c r="N154" s="37" t="s">
        <v>870</v>
      </c>
      <c r="O154" s="37" t="s">
        <v>871</v>
      </c>
      <c r="P154" s="37">
        <f>73+58+47</f>
        <v>178</v>
      </c>
      <c r="Q154" s="38"/>
      <c r="R154" s="38"/>
      <c r="S154" s="38"/>
      <c r="T154" s="38"/>
      <c r="U154" s="38"/>
    </row>
    <row r="155" spans="1:21" ht="76.5">
      <c r="A155" s="35">
        <v>130</v>
      </c>
      <c r="B155" s="35" t="s">
        <v>872</v>
      </c>
      <c r="C155" s="36" t="s">
        <v>873</v>
      </c>
      <c r="D155" s="35" t="s">
        <v>865</v>
      </c>
      <c r="E155" s="35">
        <v>0.02</v>
      </c>
      <c r="F155" s="35" t="s">
        <v>874</v>
      </c>
      <c r="G155" s="35" t="s">
        <v>867</v>
      </c>
      <c r="H155" s="35"/>
      <c r="I155" s="35" t="s">
        <v>868</v>
      </c>
      <c r="J155" s="35" t="s">
        <v>875</v>
      </c>
      <c r="K155" s="35"/>
      <c r="L155" s="35"/>
      <c r="M155" s="35">
        <f>8</f>
        <v>8</v>
      </c>
      <c r="N155" s="37" t="s">
        <v>870</v>
      </c>
      <c r="O155" s="37" t="s">
        <v>876</v>
      </c>
      <c r="P155" s="37">
        <f>8+6+5</f>
        <v>19</v>
      </c>
      <c r="Q155" s="38"/>
      <c r="R155" s="38"/>
      <c r="S155" s="38"/>
      <c r="T155" s="38"/>
      <c r="U155" s="38"/>
    </row>
    <row r="156" spans="1:21" ht="63.75">
      <c r="A156" s="35">
        <v>131</v>
      </c>
      <c r="B156" s="35" t="s">
        <v>877</v>
      </c>
      <c r="C156" s="36" t="s">
        <v>878</v>
      </c>
      <c r="D156" s="35" t="s">
        <v>865</v>
      </c>
      <c r="E156" s="35">
        <v>0.29</v>
      </c>
      <c r="F156" s="35" t="s">
        <v>879</v>
      </c>
      <c r="G156" s="35"/>
      <c r="H156" s="35"/>
      <c r="I156" s="35" t="s">
        <v>880</v>
      </c>
      <c r="J156" s="35" t="s">
        <v>881</v>
      </c>
      <c r="K156" s="35"/>
      <c r="L156" s="35"/>
      <c r="M156" s="35">
        <f>104</f>
        <v>104</v>
      </c>
      <c r="N156" s="37" t="s">
        <v>870</v>
      </c>
      <c r="O156" s="37" t="s">
        <v>882</v>
      </c>
      <c r="P156" s="37">
        <f>104+83+68</f>
        <v>255</v>
      </c>
      <c r="Q156" s="38"/>
      <c r="R156" s="38"/>
      <c r="S156" s="38"/>
      <c r="T156" s="38"/>
      <c r="U156" s="38"/>
    </row>
    <row r="157" spans="1:21" ht="76.5">
      <c r="A157" s="35">
        <v>132</v>
      </c>
      <c r="B157" s="35" t="s">
        <v>883</v>
      </c>
      <c r="C157" s="36" t="s">
        <v>884</v>
      </c>
      <c r="D157" s="35" t="s">
        <v>467</v>
      </c>
      <c r="E157" s="35">
        <v>1.8</v>
      </c>
      <c r="F157" s="35" t="s">
        <v>885</v>
      </c>
      <c r="G157" s="35" t="s">
        <v>741</v>
      </c>
      <c r="H157" s="35"/>
      <c r="I157" s="35" t="s">
        <v>886</v>
      </c>
      <c r="J157" s="35" t="s">
        <v>887</v>
      </c>
      <c r="K157" s="35" t="s">
        <v>888</v>
      </c>
      <c r="L157" s="35"/>
      <c r="M157" s="35">
        <f>1065+2</f>
        <v>1067</v>
      </c>
      <c r="N157" s="37" t="s">
        <v>870</v>
      </c>
      <c r="O157" s="37" t="s">
        <v>889</v>
      </c>
      <c r="P157" s="37">
        <f>1067+853+694</f>
        <v>2614</v>
      </c>
      <c r="Q157" s="38"/>
      <c r="R157" s="38"/>
      <c r="S157" s="38"/>
      <c r="T157" s="38"/>
      <c r="U157" s="38"/>
    </row>
    <row r="158" spans="1:21" ht="63.75">
      <c r="A158" s="35">
        <v>133</v>
      </c>
      <c r="B158" s="35" t="s">
        <v>890</v>
      </c>
      <c r="C158" s="36" t="s">
        <v>891</v>
      </c>
      <c r="D158" s="35" t="s">
        <v>467</v>
      </c>
      <c r="E158" s="35">
        <v>1.5</v>
      </c>
      <c r="F158" s="35" t="s">
        <v>892</v>
      </c>
      <c r="G158" s="35"/>
      <c r="H158" s="35"/>
      <c r="I158" s="35" t="s">
        <v>893</v>
      </c>
      <c r="J158" s="35" t="s">
        <v>894</v>
      </c>
      <c r="K158" s="35"/>
      <c r="L158" s="35"/>
      <c r="M158" s="35">
        <f>255</f>
        <v>255</v>
      </c>
      <c r="N158" s="37" t="s">
        <v>870</v>
      </c>
      <c r="O158" s="37" t="s">
        <v>895</v>
      </c>
      <c r="P158" s="37">
        <f>255+204+166</f>
        <v>625</v>
      </c>
      <c r="Q158" s="38"/>
      <c r="R158" s="38"/>
      <c r="S158" s="38"/>
      <c r="T158" s="38"/>
      <c r="U158" s="38"/>
    </row>
    <row r="159" spans="1:21" ht="63.75">
      <c r="A159" s="35">
        <v>134</v>
      </c>
      <c r="B159" s="35" t="s">
        <v>896</v>
      </c>
      <c r="C159" s="36" t="s">
        <v>897</v>
      </c>
      <c r="D159" s="35" t="s">
        <v>865</v>
      </c>
      <c r="E159" s="35">
        <v>0.18</v>
      </c>
      <c r="F159" s="35" t="s">
        <v>898</v>
      </c>
      <c r="G159" s="35"/>
      <c r="H159" s="35"/>
      <c r="I159" s="35" t="s">
        <v>880</v>
      </c>
      <c r="J159" s="35" t="s">
        <v>899</v>
      </c>
      <c r="K159" s="35"/>
      <c r="L159" s="35"/>
      <c r="M159" s="35">
        <f>41</f>
        <v>41</v>
      </c>
      <c r="N159" s="37" t="s">
        <v>870</v>
      </c>
      <c r="O159" s="37" t="s">
        <v>900</v>
      </c>
      <c r="P159" s="37">
        <f>41+33+27</f>
        <v>101</v>
      </c>
      <c r="Q159" s="38"/>
      <c r="R159" s="38"/>
      <c r="S159" s="38"/>
      <c r="T159" s="38"/>
      <c r="U159" s="38"/>
    </row>
    <row r="160" spans="1:21" ht="89.25">
      <c r="A160" s="35">
        <v>135</v>
      </c>
      <c r="B160" s="35" t="s">
        <v>901</v>
      </c>
      <c r="C160" s="36" t="s">
        <v>902</v>
      </c>
      <c r="D160" s="35" t="s">
        <v>903</v>
      </c>
      <c r="E160" s="35">
        <v>1</v>
      </c>
      <c r="F160" s="35" t="s">
        <v>904</v>
      </c>
      <c r="G160" s="35" t="s">
        <v>905</v>
      </c>
      <c r="H160" s="35"/>
      <c r="I160" s="35" t="s">
        <v>906</v>
      </c>
      <c r="J160" s="35" t="s">
        <v>907</v>
      </c>
      <c r="K160" s="35" t="s">
        <v>908</v>
      </c>
      <c r="L160" s="35"/>
      <c r="M160" s="35">
        <f>189+2</f>
        <v>191</v>
      </c>
      <c r="N160" s="37" t="s">
        <v>909</v>
      </c>
      <c r="O160" s="37" t="s">
        <v>910</v>
      </c>
      <c r="P160" s="37">
        <f>217+171+124</f>
        <v>512</v>
      </c>
      <c r="Q160" s="38"/>
      <c r="R160" s="38"/>
      <c r="S160" s="38"/>
      <c r="T160" s="38"/>
      <c r="U160" s="38"/>
    </row>
    <row r="161" spans="1:21" ht="76.5">
      <c r="A161" s="35">
        <v>136</v>
      </c>
      <c r="B161" s="35" t="s">
        <v>911</v>
      </c>
      <c r="C161" s="36" t="s">
        <v>912</v>
      </c>
      <c r="D161" s="35" t="s">
        <v>865</v>
      </c>
      <c r="E161" s="35">
        <v>0.01</v>
      </c>
      <c r="F161" s="35" t="s">
        <v>913</v>
      </c>
      <c r="G161" s="35" t="s">
        <v>734</v>
      </c>
      <c r="H161" s="35"/>
      <c r="I161" s="35" t="s">
        <v>868</v>
      </c>
      <c r="J161" s="35" t="s">
        <v>914</v>
      </c>
      <c r="K161" s="35"/>
      <c r="L161" s="35"/>
      <c r="M161" s="35">
        <f>17</f>
        <v>17</v>
      </c>
      <c r="N161" s="37" t="s">
        <v>870</v>
      </c>
      <c r="O161" s="37" t="s">
        <v>915</v>
      </c>
      <c r="P161" s="37">
        <f>17+14+11</f>
        <v>42</v>
      </c>
      <c r="Q161" s="38"/>
      <c r="R161" s="38"/>
      <c r="S161" s="38"/>
      <c r="T161" s="38"/>
      <c r="U161" s="38"/>
    </row>
    <row r="162" spans="1:21" ht="89.25">
      <c r="A162" s="35">
        <v>137</v>
      </c>
      <c r="B162" s="35" t="s">
        <v>916</v>
      </c>
      <c r="C162" s="36" t="s">
        <v>917</v>
      </c>
      <c r="D162" s="35" t="s">
        <v>467</v>
      </c>
      <c r="E162" s="35">
        <v>1.2</v>
      </c>
      <c r="F162" s="35" t="s">
        <v>918</v>
      </c>
      <c r="G162" s="35" t="s">
        <v>919</v>
      </c>
      <c r="H162" s="35">
        <v>1132.76</v>
      </c>
      <c r="I162" s="35" t="s">
        <v>920</v>
      </c>
      <c r="J162" s="35" t="s">
        <v>921</v>
      </c>
      <c r="K162" s="35" t="s">
        <v>922</v>
      </c>
      <c r="L162" s="35">
        <v>3494</v>
      </c>
      <c r="M162" s="35">
        <f>3341+1516</f>
        <v>4857</v>
      </c>
      <c r="N162" s="37" t="s">
        <v>909</v>
      </c>
      <c r="O162" s="37" t="s">
        <v>923</v>
      </c>
      <c r="P162" s="37">
        <f>10799+4337+3157</f>
        <v>18293</v>
      </c>
      <c r="Q162" s="38"/>
      <c r="R162" s="38"/>
      <c r="S162" s="38"/>
      <c r="T162" s="38"/>
      <c r="U162" s="38"/>
    </row>
    <row r="163" spans="1:21" ht="25.5">
      <c r="A163" s="35">
        <v>138</v>
      </c>
      <c r="B163" s="35" t="s">
        <v>501</v>
      </c>
      <c r="C163" s="36" t="s">
        <v>924</v>
      </c>
      <c r="D163" s="35" t="s">
        <v>602</v>
      </c>
      <c r="E163" s="35">
        <v>120</v>
      </c>
      <c r="F163" s="35">
        <v>74</v>
      </c>
      <c r="G163" s="35"/>
      <c r="H163" s="35">
        <v>74</v>
      </c>
      <c r="I163" s="35" t="s">
        <v>503</v>
      </c>
      <c r="J163" s="35">
        <v>8880</v>
      </c>
      <c r="K163" s="35"/>
      <c r="L163" s="35">
        <v>8880</v>
      </c>
      <c r="M163" s="35"/>
      <c r="N163" s="37"/>
      <c r="O163" s="37"/>
      <c r="P163" s="37">
        <f>8880</f>
        <v>8880</v>
      </c>
      <c r="Q163" s="38"/>
      <c r="R163" s="38"/>
      <c r="S163" s="38"/>
      <c r="T163" s="38"/>
      <c r="U163" s="38"/>
    </row>
    <row r="164" spans="1:21" ht="89.25">
      <c r="A164" s="35">
        <v>139</v>
      </c>
      <c r="B164" s="35" t="s">
        <v>925</v>
      </c>
      <c r="C164" s="36" t="s">
        <v>926</v>
      </c>
      <c r="D164" s="35" t="s">
        <v>467</v>
      </c>
      <c r="E164" s="35">
        <v>3.6</v>
      </c>
      <c r="F164" s="35" t="s">
        <v>927</v>
      </c>
      <c r="G164" s="35" t="s">
        <v>928</v>
      </c>
      <c r="H164" s="35">
        <v>57.92</v>
      </c>
      <c r="I164" s="35" t="s">
        <v>929</v>
      </c>
      <c r="J164" s="35" t="s">
        <v>930</v>
      </c>
      <c r="K164" s="35" t="s">
        <v>931</v>
      </c>
      <c r="L164" s="35">
        <v>484</v>
      </c>
      <c r="M164" s="35">
        <f>1253+735</f>
        <v>1988</v>
      </c>
      <c r="N164" s="37" t="s">
        <v>909</v>
      </c>
      <c r="O164" s="37" t="s">
        <v>932</v>
      </c>
      <c r="P164" s="37">
        <f>2826+1775+1292</f>
        <v>5893</v>
      </c>
      <c r="Q164" s="38"/>
      <c r="R164" s="38"/>
      <c r="S164" s="38"/>
      <c r="T164" s="38"/>
      <c r="U164" s="38"/>
    </row>
    <row r="165" spans="1:21" ht="89.25">
      <c r="A165" s="35">
        <v>140</v>
      </c>
      <c r="B165" s="35" t="s">
        <v>933</v>
      </c>
      <c r="C165" s="36" t="s">
        <v>934</v>
      </c>
      <c r="D165" s="35" t="s">
        <v>935</v>
      </c>
      <c r="E165" s="35">
        <v>0.24</v>
      </c>
      <c r="F165" s="35">
        <v>2291.15</v>
      </c>
      <c r="G165" s="35"/>
      <c r="H165" s="35">
        <v>2291.15</v>
      </c>
      <c r="I165" s="35" t="s">
        <v>929</v>
      </c>
      <c r="J165" s="35">
        <v>1276</v>
      </c>
      <c r="K165" s="35"/>
      <c r="L165" s="35">
        <v>1276</v>
      </c>
      <c r="M165" s="35"/>
      <c r="N165" s="37"/>
      <c r="O165" s="37"/>
      <c r="P165" s="37">
        <f>1276</f>
        <v>1276</v>
      </c>
      <c r="Q165" s="38"/>
      <c r="R165" s="38"/>
      <c r="S165" s="38"/>
      <c r="T165" s="38"/>
      <c r="U165" s="38"/>
    </row>
    <row r="166" spans="1:21" ht="89.25">
      <c r="A166" s="35">
        <v>141</v>
      </c>
      <c r="B166" s="35" t="s">
        <v>936</v>
      </c>
      <c r="C166" s="36" t="s">
        <v>937</v>
      </c>
      <c r="D166" s="35" t="s">
        <v>935</v>
      </c>
      <c r="E166" s="35">
        <v>0.12</v>
      </c>
      <c r="F166" s="35">
        <v>1446.89</v>
      </c>
      <c r="G166" s="35"/>
      <c r="H166" s="35">
        <v>1446.89</v>
      </c>
      <c r="I166" s="35" t="s">
        <v>929</v>
      </c>
      <c r="J166" s="35">
        <v>403</v>
      </c>
      <c r="K166" s="35"/>
      <c r="L166" s="35">
        <v>403</v>
      </c>
      <c r="M166" s="35"/>
      <c r="N166" s="37"/>
      <c r="O166" s="37"/>
      <c r="P166" s="37">
        <f>403</f>
        <v>403</v>
      </c>
      <c r="Q166" s="38"/>
      <c r="R166" s="38"/>
      <c r="S166" s="38"/>
      <c r="T166" s="38"/>
      <c r="U166" s="38"/>
    </row>
    <row r="167" spans="1:21" ht="89.25">
      <c r="A167" s="35">
        <v>142</v>
      </c>
      <c r="B167" s="35" t="s">
        <v>938</v>
      </c>
      <c r="C167" s="36" t="s">
        <v>939</v>
      </c>
      <c r="D167" s="35" t="s">
        <v>865</v>
      </c>
      <c r="E167" s="35">
        <v>0.24</v>
      </c>
      <c r="F167" s="35" t="s">
        <v>940</v>
      </c>
      <c r="G167" s="35" t="s">
        <v>941</v>
      </c>
      <c r="H167" s="35">
        <v>1117.12</v>
      </c>
      <c r="I167" s="35" t="s">
        <v>942</v>
      </c>
      <c r="J167" s="35" t="s">
        <v>943</v>
      </c>
      <c r="K167" s="35" t="s">
        <v>944</v>
      </c>
      <c r="L167" s="35">
        <v>705</v>
      </c>
      <c r="M167" s="35">
        <f>1375+3</f>
        <v>1378</v>
      </c>
      <c r="N167" s="37" t="s">
        <v>909</v>
      </c>
      <c r="O167" s="37" t="s">
        <v>945</v>
      </c>
      <c r="P167" s="37">
        <f>2107+1231+896</f>
        <v>4234</v>
      </c>
      <c r="Q167" s="38"/>
      <c r="R167" s="38"/>
      <c r="S167" s="38"/>
      <c r="T167" s="38"/>
      <c r="U167" s="38"/>
    </row>
    <row r="168" spans="1:21" ht="12.75">
      <c r="A168" s="35">
        <v>143</v>
      </c>
      <c r="B168" s="35" t="s">
        <v>501</v>
      </c>
      <c r="C168" s="36" t="s">
        <v>946</v>
      </c>
      <c r="D168" s="35" t="s">
        <v>558</v>
      </c>
      <c r="E168" s="35">
        <v>24</v>
      </c>
      <c r="F168" s="35">
        <v>86</v>
      </c>
      <c r="G168" s="35"/>
      <c r="H168" s="35">
        <v>86</v>
      </c>
      <c r="I168" s="35" t="s">
        <v>503</v>
      </c>
      <c r="J168" s="35">
        <v>2064</v>
      </c>
      <c r="K168" s="35"/>
      <c r="L168" s="35">
        <v>2064</v>
      </c>
      <c r="M168" s="35"/>
      <c r="N168" s="37"/>
      <c r="O168" s="37"/>
      <c r="P168" s="37">
        <f>2064</f>
        <v>2064</v>
      </c>
      <c r="Q168" s="38"/>
      <c r="R168" s="38"/>
      <c r="S168" s="38"/>
      <c r="T168" s="38"/>
      <c r="U168" s="38"/>
    </row>
    <row r="169" spans="1:21" ht="89.25">
      <c r="A169" s="35">
        <v>144</v>
      </c>
      <c r="B169" s="35" t="s">
        <v>947</v>
      </c>
      <c r="C169" s="36" t="s">
        <v>948</v>
      </c>
      <c r="D169" s="35" t="s">
        <v>865</v>
      </c>
      <c r="E169" s="35">
        <v>0.08</v>
      </c>
      <c r="F169" s="35" t="s">
        <v>949</v>
      </c>
      <c r="G169" s="35" t="s">
        <v>950</v>
      </c>
      <c r="H169" s="35">
        <v>1002.77</v>
      </c>
      <c r="I169" s="35" t="s">
        <v>951</v>
      </c>
      <c r="J169" s="35" t="s">
        <v>952</v>
      </c>
      <c r="K169" s="35">
        <v>46</v>
      </c>
      <c r="L169" s="35">
        <v>188</v>
      </c>
      <c r="M169" s="35">
        <f>247</f>
        <v>247</v>
      </c>
      <c r="N169" s="37" t="s">
        <v>909</v>
      </c>
      <c r="O169" s="37" t="s">
        <v>953</v>
      </c>
      <c r="P169" s="37">
        <f>481+221+161</f>
        <v>863</v>
      </c>
      <c r="Q169" s="38"/>
      <c r="R169" s="38"/>
      <c r="S169" s="38"/>
      <c r="T169" s="38"/>
      <c r="U169" s="38"/>
    </row>
    <row r="170" spans="1:21" ht="12.75">
      <c r="A170" s="35">
        <v>145</v>
      </c>
      <c r="B170" s="35" t="s">
        <v>501</v>
      </c>
      <c r="C170" s="36" t="s">
        <v>954</v>
      </c>
      <c r="D170" s="35" t="s">
        <v>558</v>
      </c>
      <c r="E170" s="35">
        <v>8</v>
      </c>
      <c r="F170" s="35">
        <v>45</v>
      </c>
      <c r="G170" s="35"/>
      <c r="H170" s="35">
        <v>45</v>
      </c>
      <c r="I170" s="35" t="s">
        <v>503</v>
      </c>
      <c r="J170" s="35">
        <v>360</v>
      </c>
      <c r="K170" s="35"/>
      <c r="L170" s="35">
        <v>360</v>
      </c>
      <c r="M170" s="35"/>
      <c r="N170" s="37"/>
      <c r="O170" s="37"/>
      <c r="P170" s="37">
        <f>360</f>
        <v>360</v>
      </c>
      <c r="Q170" s="38"/>
      <c r="R170" s="38"/>
      <c r="S170" s="38"/>
      <c r="T170" s="38"/>
      <c r="U170" s="38"/>
    </row>
    <row r="171" spans="1:21" ht="89.25">
      <c r="A171" s="35">
        <v>146</v>
      </c>
      <c r="B171" s="35" t="s">
        <v>955</v>
      </c>
      <c r="C171" s="36" t="s">
        <v>956</v>
      </c>
      <c r="D171" s="35" t="s">
        <v>865</v>
      </c>
      <c r="E171" s="35">
        <v>0.04</v>
      </c>
      <c r="F171" s="35" t="s">
        <v>957</v>
      </c>
      <c r="G171" s="35" t="s">
        <v>958</v>
      </c>
      <c r="H171" s="35">
        <v>1002.77</v>
      </c>
      <c r="I171" s="35" t="s">
        <v>959</v>
      </c>
      <c r="J171" s="35" t="s">
        <v>960</v>
      </c>
      <c r="K171" s="35">
        <v>23</v>
      </c>
      <c r="L171" s="35">
        <v>94</v>
      </c>
      <c r="M171" s="35">
        <f>135</f>
        <v>135</v>
      </c>
      <c r="N171" s="37" t="s">
        <v>909</v>
      </c>
      <c r="O171" s="37" t="s">
        <v>961</v>
      </c>
      <c r="P171" s="37">
        <f>252+121+88</f>
        <v>461</v>
      </c>
      <c r="Q171" s="38"/>
      <c r="R171" s="38"/>
      <c r="S171" s="38"/>
      <c r="T171" s="38"/>
      <c r="U171" s="38"/>
    </row>
    <row r="172" spans="1:21" ht="12.75">
      <c r="A172" s="35">
        <v>147</v>
      </c>
      <c r="B172" s="35" t="s">
        <v>501</v>
      </c>
      <c r="C172" s="36" t="s">
        <v>946</v>
      </c>
      <c r="D172" s="35" t="s">
        <v>558</v>
      </c>
      <c r="E172" s="35">
        <v>4</v>
      </c>
      <c r="F172" s="35">
        <v>80</v>
      </c>
      <c r="G172" s="35"/>
      <c r="H172" s="35">
        <v>80</v>
      </c>
      <c r="I172" s="35" t="s">
        <v>503</v>
      </c>
      <c r="J172" s="35">
        <v>320</v>
      </c>
      <c r="K172" s="35"/>
      <c r="L172" s="35">
        <v>320</v>
      </c>
      <c r="M172" s="35"/>
      <c r="N172" s="37"/>
      <c r="O172" s="37"/>
      <c r="P172" s="37">
        <f>320</f>
        <v>320</v>
      </c>
      <c r="Q172" s="38"/>
      <c r="R172" s="38"/>
      <c r="S172" s="38"/>
      <c r="T172" s="38"/>
      <c r="U172" s="38"/>
    </row>
    <row r="173" spans="1:21" ht="89.25">
      <c r="A173" s="35">
        <v>148</v>
      </c>
      <c r="B173" s="35" t="s">
        <v>925</v>
      </c>
      <c r="C173" s="36" t="s">
        <v>962</v>
      </c>
      <c r="D173" s="35" t="s">
        <v>467</v>
      </c>
      <c r="E173" s="35">
        <v>0.8</v>
      </c>
      <c r="F173" s="35" t="s">
        <v>927</v>
      </c>
      <c r="G173" s="35" t="s">
        <v>928</v>
      </c>
      <c r="H173" s="35">
        <v>57.92</v>
      </c>
      <c r="I173" s="35" t="s">
        <v>929</v>
      </c>
      <c r="J173" s="35" t="s">
        <v>963</v>
      </c>
      <c r="K173" s="35" t="s">
        <v>964</v>
      </c>
      <c r="L173" s="35">
        <v>108</v>
      </c>
      <c r="M173" s="35">
        <f>278+163</f>
        <v>441</v>
      </c>
      <c r="N173" s="37" t="s">
        <v>909</v>
      </c>
      <c r="O173" s="37" t="s">
        <v>965</v>
      </c>
      <c r="P173" s="37">
        <f>628+394+287</f>
        <v>1309</v>
      </c>
      <c r="Q173" s="38"/>
      <c r="R173" s="38"/>
      <c r="S173" s="38"/>
      <c r="T173" s="38"/>
      <c r="U173" s="38"/>
    </row>
    <row r="174" spans="1:21" ht="25.5">
      <c r="A174" s="35">
        <v>149</v>
      </c>
      <c r="B174" s="35" t="s">
        <v>501</v>
      </c>
      <c r="C174" s="36" t="s">
        <v>966</v>
      </c>
      <c r="D174" s="35" t="s">
        <v>602</v>
      </c>
      <c r="E174" s="35">
        <v>80</v>
      </c>
      <c r="F174" s="35">
        <v>36</v>
      </c>
      <c r="G174" s="35"/>
      <c r="H174" s="35">
        <v>36</v>
      </c>
      <c r="I174" s="35" t="s">
        <v>503</v>
      </c>
      <c r="J174" s="35">
        <v>2880</v>
      </c>
      <c r="K174" s="35"/>
      <c r="L174" s="35">
        <v>2880</v>
      </c>
      <c r="M174" s="35"/>
      <c r="N174" s="37"/>
      <c r="O174" s="37"/>
      <c r="P174" s="37">
        <f>2880</f>
        <v>2880</v>
      </c>
      <c r="Q174" s="38"/>
      <c r="R174" s="38"/>
      <c r="S174" s="38"/>
      <c r="T174" s="38"/>
      <c r="U174" s="38"/>
    </row>
    <row r="175" spans="1:21" ht="89.25">
      <c r="A175" s="35">
        <v>150</v>
      </c>
      <c r="B175" s="35" t="s">
        <v>925</v>
      </c>
      <c r="C175" s="36" t="s">
        <v>926</v>
      </c>
      <c r="D175" s="35" t="s">
        <v>467</v>
      </c>
      <c r="E175" s="35">
        <v>1.2</v>
      </c>
      <c r="F175" s="35" t="s">
        <v>927</v>
      </c>
      <c r="G175" s="35" t="s">
        <v>928</v>
      </c>
      <c r="H175" s="35">
        <v>57.92</v>
      </c>
      <c r="I175" s="35" t="s">
        <v>929</v>
      </c>
      <c r="J175" s="35" t="s">
        <v>967</v>
      </c>
      <c r="K175" s="35" t="s">
        <v>968</v>
      </c>
      <c r="L175" s="35">
        <v>161</v>
      </c>
      <c r="M175" s="35">
        <f>418+245</f>
        <v>663</v>
      </c>
      <c r="N175" s="37" t="s">
        <v>909</v>
      </c>
      <c r="O175" s="37" t="s">
        <v>969</v>
      </c>
      <c r="P175" s="37">
        <f>942+592+431</f>
        <v>1965</v>
      </c>
      <c r="Q175" s="38"/>
      <c r="R175" s="38"/>
      <c r="S175" s="38"/>
      <c r="T175" s="38"/>
      <c r="U175" s="38"/>
    </row>
    <row r="176" spans="1:21" ht="25.5">
      <c r="A176" s="35">
        <v>151</v>
      </c>
      <c r="B176" s="35" t="s">
        <v>501</v>
      </c>
      <c r="C176" s="36" t="s">
        <v>970</v>
      </c>
      <c r="D176" s="35" t="s">
        <v>602</v>
      </c>
      <c r="E176" s="35">
        <v>120</v>
      </c>
      <c r="F176" s="35">
        <v>54</v>
      </c>
      <c r="G176" s="35"/>
      <c r="H176" s="35">
        <v>54</v>
      </c>
      <c r="I176" s="35" t="s">
        <v>503</v>
      </c>
      <c r="J176" s="35">
        <v>6480</v>
      </c>
      <c r="K176" s="35"/>
      <c r="L176" s="35">
        <v>6480</v>
      </c>
      <c r="M176" s="35"/>
      <c r="N176" s="37"/>
      <c r="O176" s="37"/>
      <c r="P176" s="37">
        <f>6480</f>
        <v>6480</v>
      </c>
      <c r="Q176" s="38"/>
      <c r="R176" s="38"/>
      <c r="S176" s="38"/>
      <c r="T176" s="38"/>
      <c r="U176" s="38"/>
    </row>
    <row r="177" spans="1:21" ht="89.25">
      <c r="A177" s="35">
        <v>152</v>
      </c>
      <c r="B177" s="35" t="s">
        <v>938</v>
      </c>
      <c r="C177" s="36" t="s">
        <v>971</v>
      </c>
      <c r="D177" s="35" t="s">
        <v>865</v>
      </c>
      <c r="E177" s="35">
        <v>0.1</v>
      </c>
      <c r="F177" s="35" t="s">
        <v>940</v>
      </c>
      <c r="G177" s="35" t="s">
        <v>941</v>
      </c>
      <c r="H177" s="35">
        <v>1117.12</v>
      </c>
      <c r="I177" s="35" t="s">
        <v>942</v>
      </c>
      <c r="J177" s="35" t="s">
        <v>972</v>
      </c>
      <c r="K177" s="35" t="s">
        <v>973</v>
      </c>
      <c r="L177" s="35">
        <v>294</v>
      </c>
      <c r="M177" s="35">
        <f>573+1</f>
        <v>574</v>
      </c>
      <c r="N177" s="37" t="s">
        <v>909</v>
      </c>
      <c r="O177" s="37" t="s">
        <v>974</v>
      </c>
      <c r="P177" s="37">
        <f>878+513+373</f>
        <v>1764</v>
      </c>
      <c r="Q177" s="38"/>
      <c r="R177" s="38"/>
      <c r="S177" s="38"/>
      <c r="T177" s="38"/>
      <c r="U177" s="38"/>
    </row>
    <row r="178" spans="1:21" ht="12.75">
      <c r="A178" s="35">
        <v>153</v>
      </c>
      <c r="B178" s="35" t="s">
        <v>501</v>
      </c>
      <c r="C178" s="36" t="s">
        <v>946</v>
      </c>
      <c r="D178" s="35" t="s">
        <v>558</v>
      </c>
      <c r="E178" s="35">
        <v>10</v>
      </c>
      <c r="F178" s="35">
        <v>93</v>
      </c>
      <c r="G178" s="35"/>
      <c r="H178" s="35">
        <v>93</v>
      </c>
      <c r="I178" s="35" t="s">
        <v>503</v>
      </c>
      <c r="J178" s="35">
        <v>930</v>
      </c>
      <c r="K178" s="35"/>
      <c r="L178" s="35">
        <v>930</v>
      </c>
      <c r="M178" s="35"/>
      <c r="N178" s="37"/>
      <c r="O178" s="37"/>
      <c r="P178" s="37">
        <f>930</f>
        <v>930</v>
      </c>
      <c r="Q178" s="38"/>
      <c r="R178" s="38"/>
      <c r="S178" s="38"/>
      <c r="T178" s="38"/>
      <c r="U178" s="38"/>
    </row>
    <row r="179" spans="1:21" ht="25.5">
      <c r="A179" s="35">
        <v>154</v>
      </c>
      <c r="B179" s="35" t="s">
        <v>501</v>
      </c>
      <c r="C179" s="36" t="s">
        <v>975</v>
      </c>
      <c r="D179" s="35" t="s">
        <v>558</v>
      </c>
      <c r="E179" s="35">
        <v>46</v>
      </c>
      <c r="F179" s="35">
        <v>32</v>
      </c>
      <c r="G179" s="35"/>
      <c r="H179" s="35">
        <v>32</v>
      </c>
      <c r="I179" s="35" t="s">
        <v>503</v>
      </c>
      <c r="J179" s="35">
        <v>1472</v>
      </c>
      <c r="K179" s="35"/>
      <c r="L179" s="35">
        <v>1472</v>
      </c>
      <c r="M179" s="35"/>
      <c r="N179" s="37"/>
      <c r="O179" s="37"/>
      <c r="P179" s="37">
        <f>1472</f>
        <v>1472</v>
      </c>
      <c r="Q179" s="38"/>
      <c r="R179" s="38"/>
      <c r="S179" s="38"/>
      <c r="T179" s="38"/>
      <c r="U179" s="38"/>
    </row>
    <row r="180" spans="1:21" ht="25.5">
      <c r="A180" s="35">
        <v>155</v>
      </c>
      <c r="B180" s="35" t="s">
        <v>501</v>
      </c>
      <c r="C180" s="36" t="s">
        <v>976</v>
      </c>
      <c r="D180" s="35" t="s">
        <v>558</v>
      </c>
      <c r="E180" s="35">
        <v>44</v>
      </c>
      <c r="F180" s="35">
        <v>54</v>
      </c>
      <c r="G180" s="35"/>
      <c r="H180" s="35">
        <v>54</v>
      </c>
      <c r="I180" s="35" t="s">
        <v>503</v>
      </c>
      <c r="J180" s="35">
        <v>2376</v>
      </c>
      <c r="K180" s="35"/>
      <c r="L180" s="35">
        <v>2376</v>
      </c>
      <c r="M180" s="35"/>
      <c r="N180" s="37"/>
      <c r="O180" s="37"/>
      <c r="P180" s="37">
        <f>2376</f>
        <v>2376</v>
      </c>
      <c r="Q180" s="38"/>
      <c r="R180" s="38"/>
      <c r="S180" s="38"/>
      <c r="T180" s="38"/>
      <c r="U180" s="38"/>
    </row>
    <row r="181" spans="1:21" ht="25.5">
      <c r="A181" s="35">
        <v>156</v>
      </c>
      <c r="B181" s="35" t="s">
        <v>501</v>
      </c>
      <c r="C181" s="36" t="s">
        <v>977</v>
      </c>
      <c r="D181" s="35" t="s">
        <v>558</v>
      </c>
      <c r="E181" s="35">
        <v>44</v>
      </c>
      <c r="F181" s="35">
        <v>42</v>
      </c>
      <c r="G181" s="35"/>
      <c r="H181" s="35">
        <v>42</v>
      </c>
      <c r="I181" s="35" t="s">
        <v>503</v>
      </c>
      <c r="J181" s="35">
        <v>1848</v>
      </c>
      <c r="K181" s="35"/>
      <c r="L181" s="35">
        <v>1848</v>
      </c>
      <c r="M181" s="35"/>
      <c r="N181" s="37"/>
      <c r="O181" s="37"/>
      <c r="P181" s="37">
        <f>1848</f>
        <v>1848</v>
      </c>
      <c r="Q181" s="38"/>
      <c r="R181" s="38"/>
      <c r="S181" s="38"/>
      <c r="T181" s="38"/>
      <c r="U181" s="38"/>
    </row>
    <row r="182" spans="1:21" ht="89.25">
      <c r="A182" s="35">
        <v>157</v>
      </c>
      <c r="B182" s="35" t="s">
        <v>901</v>
      </c>
      <c r="C182" s="36" t="s">
        <v>978</v>
      </c>
      <c r="D182" s="35" t="s">
        <v>903</v>
      </c>
      <c r="E182" s="35">
        <v>1</v>
      </c>
      <c r="F182" s="35" t="s">
        <v>979</v>
      </c>
      <c r="G182" s="35" t="s">
        <v>905</v>
      </c>
      <c r="H182" s="35">
        <v>75.76</v>
      </c>
      <c r="I182" s="35" t="s">
        <v>906</v>
      </c>
      <c r="J182" s="35" t="s">
        <v>980</v>
      </c>
      <c r="K182" s="35" t="s">
        <v>981</v>
      </c>
      <c r="L182" s="35">
        <v>188</v>
      </c>
      <c r="M182" s="35">
        <f>377+4</f>
        <v>381</v>
      </c>
      <c r="N182" s="37" t="s">
        <v>909</v>
      </c>
      <c r="O182" s="37" t="s">
        <v>982</v>
      </c>
      <c r="P182" s="37">
        <f>621+340+248</f>
        <v>1209</v>
      </c>
      <c r="Q182" s="38"/>
      <c r="R182" s="38"/>
      <c r="S182" s="38"/>
      <c r="T182" s="38"/>
      <c r="U182" s="38"/>
    </row>
    <row r="183" spans="1:21" ht="25.5">
      <c r="A183" s="35">
        <v>158</v>
      </c>
      <c r="B183" s="35" t="s">
        <v>501</v>
      </c>
      <c r="C183" s="36" t="s">
        <v>983</v>
      </c>
      <c r="D183" s="35" t="s">
        <v>558</v>
      </c>
      <c r="E183" s="35">
        <v>1</v>
      </c>
      <c r="F183" s="35">
        <v>3542</v>
      </c>
      <c r="G183" s="35"/>
      <c r="H183" s="35">
        <v>3542</v>
      </c>
      <c r="I183" s="35" t="s">
        <v>503</v>
      </c>
      <c r="J183" s="35">
        <v>3542</v>
      </c>
      <c r="K183" s="35"/>
      <c r="L183" s="35">
        <v>3542</v>
      </c>
      <c r="M183" s="35"/>
      <c r="N183" s="37"/>
      <c r="O183" s="37"/>
      <c r="P183" s="37">
        <f>3542</f>
        <v>3542</v>
      </c>
      <c r="Q183" s="38"/>
      <c r="R183" s="38"/>
      <c r="S183" s="38"/>
      <c r="T183" s="38"/>
      <c r="U183" s="38"/>
    </row>
    <row r="184" spans="1:21" ht="89.25">
      <c r="A184" s="35">
        <v>159</v>
      </c>
      <c r="B184" s="35" t="s">
        <v>984</v>
      </c>
      <c r="C184" s="36" t="s">
        <v>985</v>
      </c>
      <c r="D184" s="35" t="s">
        <v>903</v>
      </c>
      <c r="E184" s="35">
        <v>1</v>
      </c>
      <c r="F184" s="35" t="s">
        <v>986</v>
      </c>
      <c r="G184" s="35" t="s">
        <v>987</v>
      </c>
      <c r="H184" s="35">
        <v>0.39</v>
      </c>
      <c r="I184" s="35" t="s">
        <v>988</v>
      </c>
      <c r="J184" s="35" t="s">
        <v>989</v>
      </c>
      <c r="K184" s="35" t="s">
        <v>990</v>
      </c>
      <c r="L184" s="35">
        <v>1</v>
      </c>
      <c r="M184" s="35">
        <f>68+1</f>
        <v>69</v>
      </c>
      <c r="N184" s="37" t="s">
        <v>909</v>
      </c>
      <c r="O184" s="37" t="s">
        <v>991</v>
      </c>
      <c r="P184" s="37">
        <f>78+62+45</f>
        <v>185</v>
      </c>
      <c r="Q184" s="38"/>
      <c r="R184" s="38"/>
      <c r="S184" s="38"/>
      <c r="T184" s="38"/>
      <c r="U184" s="38"/>
    </row>
    <row r="185" spans="1:21" ht="25.5">
      <c r="A185" s="35">
        <v>160</v>
      </c>
      <c r="B185" s="35" t="s">
        <v>501</v>
      </c>
      <c r="C185" s="36" t="s">
        <v>992</v>
      </c>
      <c r="D185" s="35" t="s">
        <v>558</v>
      </c>
      <c r="E185" s="35">
        <v>1</v>
      </c>
      <c r="F185" s="35">
        <v>2080</v>
      </c>
      <c r="G185" s="35"/>
      <c r="H185" s="35">
        <v>2080</v>
      </c>
      <c r="I185" s="35" t="s">
        <v>503</v>
      </c>
      <c r="J185" s="35">
        <v>2080</v>
      </c>
      <c r="K185" s="35"/>
      <c r="L185" s="35">
        <v>2080</v>
      </c>
      <c r="M185" s="35"/>
      <c r="N185" s="37"/>
      <c r="O185" s="37"/>
      <c r="P185" s="37">
        <f>2080</f>
        <v>2080</v>
      </c>
      <c r="Q185" s="38"/>
      <c r="R185" s="38"/>
      <c r="S185" s="38"/>
      <c r="T185" s="38"/>
      <c r="U185" s="38"/>
    </row>
    <row r="186" spans="1:21" ht="102">
      <c r="A186" s="35">
        <v>161</v>
      </c>
      <c r="B186" s="35" t="s">
        <v>993</v>
      </c>
      <c r="C186" s="36" t="s">
        <v>994</v>
      </c>
      <c r="D186" s="35" t="s">
        <v>903</v>
      </c>
      <c r="E186" s="35">
        <v>13</v>
      </c>
      <c r="F186" s="35" t="s">
        <v>995</v>
      </c>
      <c r="G186" s="35" t="s">
        <v>996</v>
      </c>
      <c r="H186" s="35">
        <v>264.61</v>
      </c>
      <c r="I186" s="35" t="s">
        <v>997</v>
      </c>
      <c r="J186" s="35" t="s">
        <v>998</v>
      </c>
      <c r="K186" s="35" t="s">
        <v>999</v>
      </c>
      <c r="L186" s="35">
        <v>7259</v>
      </c>
      <c r="M186" s="35">
        <f>1519+3</f>
        <v>1522</v>
      </c>
      <c r="N186" s="37" t="s">
        <v>909</v>
      </c>
      <c r="O186" s="37" t="s">
        <v>1000</v>
      </c>
      <c r="P186" s="37">
        <f>8910+1359+989</f>
        <v>11258</v>
      </c>
      <c r="Q186" s="38"/>
      <c r="R186" s="38"/>
      <c r="S186" s="38"/>
      <c r="T186" s="38"/>
      <c r="U186" s="38"/>
    </row>
    <row r="187" spans="1:21" ht="38.25">
      <c r="A187" s="35">
        <v>162</v>
      </c>
      <c r="B187" s="35" t="s">
        <v>501</v>
      </c>
      <c r="C187" s="36" t="s">
        <v>1001</v>
      </c>
      <c r="D187" s="35" t="s">
        <v>558</v>
      </c>
      <c r="E187" s="35">
        <v>14</v>
      </c>
      <c r="F187" s="35">
        <v>89</v>
      </c>
      <c r="G187" s="35"/>
      <c r="H187" s="35">
        <v>89</v>
      </c>
      <c r="I187" s="35" t="s">
        <v>503</v>
      </c>
      <c r="J187" s="35">
        <v>1246</v>
      </c>
      <c r="K187" s="35"/>
      <c r="L187" s="35">
        <v>1246</v>
      </c>
      <c r="M187" s="35"/>
      <c r="N187" s="37"/>
      <c r="O187" s="37"/>
      <c r="P187" s="37">
        <f>1246</f>
        <v>1246</v>
      </c>
      <c r="Q187" s="38"/>
      <c r="R187" s="38"/>
      <c r="S187" s="38"/>
      <c r="T187" s="38"/>
      <c r="U187" s="38"/>
    </row>
    <row r="188" spans="1:21" ht="38.25">
      <c r="A188" s="35">
        <v>163</v>
      </c>
      <c r="B188" s="35" t="s">
        <v>501</v>
      </c>
      <c r="C188" s="36" t="s">
        <v>1002</v>
      </c>
      <c r="D188" s="35" t="s">
        <v>558</v>
      </c>
      <c r="E188" s="35">
        <v>1</v>
      </c>
      <c r="F188" s="35">
        <v>397</v>
      </c>
      <c r="G188" s="35"/>
      <c r="H188" s="35">
        <v>397</v>
      </c>
      <c r="I188" s="35" t="s">
        <v>503</v>
      </c>
      <c r="J188" s="35">
        <v>397</v>
      </c>
      <c r="K188" s="35"/>
      <c r="L188" s="35">
        <v>397</v>
      </c>
      <c r="M188" s="35"/>
      <c r="N188" s="37"/>
      <c r="O188" s="37"/>
      <c r="P188" s="37">
        <f>397</f>
        <v>397</v>
      </c>
      <c r="Q188" s="38"/>
      <c r="R188" s="38"/>
      <c r="S188" s="38"/>
      <c r="T188" s="38"/>
      <c r="U188" s="38"/>
    </row>
    <row r="189" spans="1:21" ht="89.25">
      <c r="A189" s="35">
        <v>164</v>
      </c>
      <c r="B189" s="35" t="s">
        <v>1003</v>
      </c>
      <c r="C189" s="36" t="s">
        <v>1004</v>
      </c>
      <c r="D189" s="35" t="s">
        <v>865</v>
      </c>
      <c r="E189" s="35">
        <v>0.19</v>
      </c>
      <c r="F189" s="35" t="s">
        <v>1005</v>
      </c>
      <c r="G189" s="35" t="s">
        <v>1006</v>
      </c>
      <c r="H189" s="35">
        <v>716.91</v>
      </c>
      <c r="I189" s="35" t="s">
        <v>1007</v>
      </c>
      <c r="J189" s="35" t="s">
        <v>1008</v>
      </c>
      <c r="K189" s="35" t="s">
        <v>1009</v>
      </c>
      <c r="L189" s="35">
        <v>351</v>
      </c>
      <c r="M189" s="35">
        <f>2433+1020</f>
        <v>3453</v>
      </c>
      <c r="N189" s="37" t="s">
        <v>909</v>
      </c>
      <c r="O189" s="37" t="s">
        <v>1010</v>
      </c>
      <c r="P189" s="37">
        <f>4408+3084+2244</f>
        <v>9736</v>
      </c>
      <c r="Q189" s="38"/>
      <c r="R189" s="38"/>
      <c r="S189" s="38"/>
      <c r="T189" s="38"/>
      <c r="U189" s="38"/>
    </row>
    <row r="190" spans="1:21" ht="89.25">
      <c r="A190" s="35">
        <v>165</v>
      </c>
      <c r="B190" s="35" t="s">
        <v>1011</v>
      </c>
      <c r="C190" s="36" t="s">
        <v>1012</v>
      </c>
      <c r="D190" s="35" t="s">
        <v>558</v>
      </c>
      <c r="E190" s="35">
        <v>19</v>
      </c>
      <c r="F190" s="35">
        <v>395.5</v>
      </c>
      <c r="G190" s="35"/>
      <c r="H190" s="35">
        <v>395.5</v>
      </c>
      <c r="I190" s="35" t="s">
        <v>1007</v>
      </c>
      <c r="J190" s="35">
        <v>19387</v>
      </c>
      <c r="K190" s="35"/>
      <c r="L190" s="35">
        <v>19387</v>
      </c>
      <c r="M190" s="35"/>
      <c r="N190" s="37"/>
      <c r="O190" s="37"/>
      <c r="P190" s="37">
        <f>19387</f>
        <v>19387</v>
      </c>
      <c r="Q190" s="38"/>
      <c r="R190" s="38"/>
      <c r="S190" s="38"/>
      <c r="T190" s="38"/>
      <c r="U190" s="38"/>
    </row>
    <row r="191" spans="1:21" ht="89.25">
      <c r="A191" s="35">
        <v>166</v>
      </c>
      <c r="B191" s="35" t="s">
        <v>1013</v>
      </c>
      <c r="C191" s="36" t="s">
        <v>1014</v>
      </c>
      <c r="D191" s="35" t="s">
        <v>1015</v>
      </c>
      <c r="E191" s="35">
        <v>7.6</v>
      </c>
      <c r="F191" s="35">
        <v>61.59</v>
      </c>
      <c r="G191" s="35"/>
      <c r="H191" s="35">
        <v>61.59</v>
      </c>
      <c r="I191" s="35" t="s">
        <v>1007</v>
      </c>
      <c r="J191" s="35">
        <v>1208</v>
      </c>
      <c r="K191" s="35"/>
      <c r="L191" s="35">
        <v>1208</v>
      </c>
      <c r="M191" s="35"/>
      <c r="N191" s="37"/>
      <c r="O191" s="37"/>
      <c r="P191" s="37">
        <f>1208</f>
        <v>1208</v>
      </c>
      <c r="Q191" s="38"/>
      <c r="R191" s="38"/>
      <c r="S191" s="38"/>
      <c r="T191" s="38"/>
      <c r="U191" s="38"/>
    </row>
    <row r="192" spans="1:21" ht="69" customHeight="1">
      <c r="A192" s="35">
        <v>167</v>
      </c>
      <c r="B192" s="35" t="s">
        <v>1016</v>
      </c>
      <c r="C192" s="36" t="s">
        <v>1017</v>
      </c>
      <c r="D192" s="35" t="s">
        <v>1015</v>
      </c>
      <c r="E192" s="35">
        <v>7.6</v>
      </c>
      <c r="F192" s="35">
        <v>23.62</v>
      </c>
      <c r="G192" s="35"/>
      <c r="H192" s="35">
        <v>23.62</v>
      </c>
      <c r="I192" s="35" t="s">
        <v>1007</v>
      </c>
      <c r="J192" s="35">
        <v>463</v>
      </c>
      <c r="K192" s="35"/>
      <c r="L192" s="35">
        <v>463</v>
      </c>
      <c r="M192" s="35"/>
      <c r="N192" s="37"/>
      <c r="O192" s="37"/>
      <c r="P192" s="37">
        <f>463</f>
        <v>463</v>
      </c>
      <c r="Q192" s="38"/>
      <c r="R192" s="38"/>
      <c r="S192" s="38"/>
      <c r="T192" s="38"/>
      <c r="U192" s="38"/>
    </row>
    <row r="193" spans="1:21" ht="97.5" customHeight="1">
      <c r="A193" s="35">
        <v>168</v>
      </c>
      <c r="B193" s="35" t="s">
        <v>1018</v>
      </c>
      <c r="C193" s="36" t="s">
        <v>1019</v>
      </c>
      <c r="D193" s="35" t="s">
        <v>865</v>
      </c>
      <c r="E193" s="35">
        <v>0.02</v>
      </c>
      <c r="F193" s="35" t="s">
        <v>1020</v>
      </c>
      <c r="G193" s="35" t="s">
        <v>1021</v>
      </c>
      <c r="H193" s="35">
        <v>2709.9</v>
      </c>
      <c r="I193" s="35" t="s">
        <v>1022</v>
      </c>
      <c r="J193" s="35" t="s">
        <v>1023</v>
      </c>
      <c r="K193" s="35" t="s">
        <v>1024</v>
      </c>
      <c r="L193" s="35">
        <v>142</v>
      </c>
      <c r="M193" s="35">
        <f>181+82</f>
        <v>263</v>
      </c>
      <c r="N193" s="37" t="s">
        <v>1025</v>
      </c>
      <c r="O193" s="37" t="s">
        <v>1026</v>
      </c>
      <c r="P193" s="37">
        <f>475+211+145</f>
        <v>831</v>
      </c>
      <c r="Q193" s="38"/>
      <c r="R193" s="38"/>
      <c r="S193" s="38"/>
      <c r="T193" s="38"/>
      <c r="U193" s="38"/>
    </row>
    <row r="194" spans="1:21" ht="89.25">
      <c r="A194" s="35">
        <v>169</v>
      </c>
      <c r="B194" s="35" t="s">
        <v>501</v>
      </c>
      <c r="C194" s="36" t="s">
        <v>1027</v>
      </c>
      <c r="D194" s="35" t="s">
        <v>558</v>
      </c>
      <c r="E194" s="35">
        <v>2</v>
      </c>
      <c r="F194" s="35">
        <v>610</v>
      </c>
      <c r="G194" s="35"/>
      <c r="H194" s="35">
        <v>610</v>
      </c>
      <c r="I194" s="35" t="s">
        <v>1022</v>
      </c>
      <c r="J194" s="35">
        <v>3196</v>
      </c>
      <c r="K194" s="35"/>
      <c r="L194" s="35">
        <v>3196</v>
      </c>
      <c r="M194" s="35"/>
      <c r="N194" s="37"/>
      <c r="O194" s="37"/>
      <c r="P194" s="37">
        <f>3196</f>
        <v>3196</v>
      </c>
      <c r="Q194" s="38"/>
      <c r="R194" s="38"/>
      <c r="S194" s="38"/>
      <c r="T194" s="38"/>
      <c r="U194" s="38"/>
    </row>
    <row r="195" spans="1:21" ht="25.5">
      <c r="A195" s="49" t="s">
        <v>1028</v>
      </c>
      <c r="B195" s="50"/>
      <c r="C195" s="50"/>
      <c r="D195" s="50"/>
      <c r="E195" s="50"/>
      <c r="F195" s="50"/>
      <c r="G195" s="50"/>
      <c r="H195" s="50"/>
      <c r="I195" s="50"/>
      <c r="J195" s="43" t="s">
        <v>1029</v>
      </c>
      <c r="K195" s="43" t="s">
        <v>1030</v>
      </c>
      <c r="L195" s="43">
        <v>566480</v>
      </c>
      <c r="M195" s="41"/>
      <c r="N195" s="42"/>
      <c r="O195" s="42"/>
      <c r="P195" s="42"/>
      <c r="Q195" s="38"/>
      <c r="R195" s="38"/>
      <c r="S195" s="38"/>
      <c r="T195" s="38"/>
      <c r="U195" s="38"/>
    </row>
    <row r="196" spans="1:21" ht="12.75">
      <c r="A196" s="49" t="s">
        <v>1031</v>
      </c>
      <c r="B196" s="50"/>
      <c r="C196" s="50"/>
      <c r="D196" s="50"/>
      <c r="E196" s="50"/>
      <c r="F196" s="50"/>
      <c r="G196" s="50"/>
      <c r="H196" s="50"/>
      <c r="I196" s="50"/>
      <c r="J196" s="43">
        <v>172013</v>
      </c>
      <c r="K196" s="43"/>
      <c r="L196" s="43"/>
      <c r="M196" s="41"/>
      <c r="N196" s="42"/>
      <c r="O196" s="42"/>
      <c r="P196" s="42"/>
      <c r="Q196" s="38"/>
      <c r="R196" s="32"/>
      <c r="S196" s="32"/>
      <c r="T196" s="32"/>
      <c r="U196" s="32"/>
    </row>
    <row r="197" spans="1:21" ht="12.75">
      <c r="A197" s="49" t="s">
        <v>1032</v>
      </c>
      <c r="B197" s="50"/>
      <c r="C197" s="50"/>
      <c r="D197" s="50"/>
      <c r="E197" s="50"/>
      <c r="F197" s="50"/>
      <c r="G197" s="50"/>
      <c r="H197" s="50"/>
      <c r="I197" s="50"/>
      <c r="J197" s="43">
        <v>111187</v>
      </c>
      <c r="K197" s="43"/>
      <c r="L197" s="43"/>
      <c r="M197" s="41"/>
      <c r="N197" s="42"/>
      <c r="O197" s="42"/>
      <c r="P197" s="42"/>
      <c r="Q197" s="38"/>
      <c r="R197" s="25"/>
      <c r="S197" s="25"/>
      <c r="T197" s="25"/>
      <c r="U197" s="25"/>
    </row>
    <row r="198" spans="1:21" ht="12.75">
      <c r="A198" s="47" t="s">
        <v>1033</v>
      </c>
      <c r="B198" s="48"/>
      <c r="C198" s="48"/>
      <c r="D198" s="48"/>
      <c r="E198" s="48"/>
      <c r="F198" s="48"/>
      <c r="G198" s="48"/>
      <c r="H198" s="48"/>
      <c r="I198" s="48"/>
      <c r="J198" s="43">
        <v>1075609</v>
      </c>
      <c r="K198" s="43"/>
      <c r="L198" s="43"/>
      <c r="M198" s="41"/>
      <c r="N198" s="42"/>
      <c r="O198" s="42"/>
      <c r="P198" s="42"/>
      <c r="Q198" s="38"/>
      <c r="R198" s="25"/>
      <c r="S198" s="25"/>
      <c r="T198" s="25"/>
      <c r="U198" s="25"/>
    </row>
    <row r="199" spans="1:17" ht="12.75">
      <c r="A199" s="49" t="s">
        <v>1035</v>
      </c>
      <c r="B199" s="50"/>
      <c r="C199" s="50"/>
      <c r="D199" s="50"/>
      <c r="E199" s="50"/>
      <c r="F199" s="50"/>
      <c r="G199" s="50"/>
      <c r="H199" s="50"/>
      <c r="I199" s="50"/>
      <c r="J199" s="43">
        <v>12907</v>
      </c>
      <c r="K199" s="43"/>
      <c r="L199" s="43"/>
      <c r="M199" s="41"/>
      <c r="N199" s="42"/>
      <c r="O199" s="42"/>
      <c r="P199" s="42"/>
      <c r="Q199" s="38"/>
    </row>
    <row r="200" spans="1:17" ht="12.75">
      <c r="A200" s="47" t="s">
        <v>1034</v>
      </c>
      <c r="B200" s="48"/>
      <c r="C200" s="48"/>
      <c r="D200" s="48"/>
      <c r="E200" s="48"/>
      <c r="F200" s="48"/>
      <c r="G200" s="48"/>
      <c r="H200" s="48"/>
      <c r="I200" s="48"/>
      <c r="J200" s="43">
        <v>1088516</v>
      </c>
      <c r="K200" s="43"/>
      <c r="L200" s="43"/>
      <c r="M200" s="41"/>
      <c r="N200" s="42"/>
      <c r="O200" s="42"/>
      <c r="P200" s="42"/>
      <c r="Q200" s="38"/>
    </row>
    <row r="201" spans="1:17" ht="12.75">
      <c r="A201" s="49" t="s">
        <v>1036</v>
      </c>
      <c r="B201" s="50"/>
      <c r="C201" s="50"/>
      <c r="D201" s="50"/>
      <c r="E201" s="50"/>
      <c r="F201" s="50"/>
      <c r="G201" s="50"/>
      <c r="H201" s="50"/>
      <c r="I201" s="50"/>
      <c r="J201" s="43">
        <v>10885</v>
      </c>
      <c r="K201" s="43"/>
      <c r="L201" s="43"/>
      <c r="M201" s="41"/>
      <c r="N201" s="42"/>
      <c r="O201" s="42"/>
      <c r="P201" s="42"/>
      <c r="Q201" s="38"/>
    </row>
    <row r="202" spans="1:17" ht="12.75">
      <c r="A202" s="49" t="s">
        <v>1037</v>
      </c>
      <c r="B202" s="50"/>
      <c r="C202" s="50"/>
      <c r="D202" s="50"/>
      <c r="E202" s="50"/>
      <c r="F202" s="50"/>
      <c r="G202" s="50"/>
      <c r="H202" s="50"/>
      <c r="I202" s="50"/>
      <c r="J202" s="43">
        <v>15348</v>
      </c>
      <c r="K202" s="43"/>
      <c r="L202" s="43"/>
      <c r="M202" s="41"/>
      <c r="N202" s="42"/>
      <c r="O202" s="42"/>
      <c r="P202" s="42"/>
      <c r="Q202" s="38"/>
    </row>
    <row r="203" spans="1:17" ht="12.75">
      <c r="A203" s="47" t="s">
        <v>1034</v>
      </c>
      <c r="B203" s="48"/>
      <c r="C203" s="48"/>
      <c r="D203" s="48"/>
      <c r="E203" s="48"/>
      <c r="F203" s="48"/>
      <c r="G203" s="48"/>
      <c r="H203" s="48"/>
      <c r="I203" s="48"/>
      <c r="J203" s="43">
        <v>1114749</v>
      </c>
      <c r="K203" s="43"/>
      <c r="L203" s="43"/>
      <c r="M203" s="41"/>
      <c r="N203" s="42"/>
      <c r="O203" s="42"/>
      <c r="P203" s="42"/>
      <c r="Q203" s="38"/>
    </row>
    <row r="204" spans="1:17" ht="12.75">
      <c r="A204" s="49" t="s">
        <v>1038</v>
      </c>
      <c r="B204" s="50"/>
      <c r="C204" s="50"/>
      <c r="D204" s="50"/>
      <c r="E204" s="50"/>
      <c r="F204" s="50"/>
      <c r="G204" s="50"/>
      <c r="H204" s="50"/>
      <c r="I204" s="50"/>
      <c r="J204" s="43">
        <v>200655</v>
      </c>
      <c r="K204" s="43"/>
      <c r="L204" s="43"/>
      <c r="M204" s="41"/>
      <c r="N204" s="42"/>
      <c r="O204" s="42"/>
      <c r="P204" s="42"/>
      <c r="Q204" s="38"/>
    </row>
    <row r="205" spans="1:17" ht="12.75">
      <c r="A205" s="47" t="s">
        <v>1039</v>
      </c>
      <c r="B205" s="48"/>
      <c r="C205" s="48"/>
      <c r="D205" s="48"/>
      <c r="E205" s="48"/>
      <c r="F205" s="48"/>
      <c r="G205" s="48"/>
      <c r="H205" s="48"/>
      <c r="I205" s="48"/>
      <c r="J205" s="43">
        <v>1315404</v>
      </c>
      <c r="K205" s="43"/>
      <c r="L205" s="43"/>
      <c r="M205" s="41"/>
      <c r="N205" s="42"/>
      <c r="O205" s="42"/>
      <c r="P205" s="42"/>
      <c r="Q205" s="38"/>
    </row>
    <row r="206" spans="1:17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2"/>
      <c r="N206" s="31"/>
      <c r="O206" s="31"/>
      <c r="P206" s="32"/>
      <c r="Q206" s="32"/>
    </row>
    <row r="207" spans="1:17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2"/>
      <c r="N207" s="31"/>
      <c r="O207" s="31"/>
      <c r="P207" s="32"/>
      <c r="Q207" s="32"/>
    </row>
    <row r="208" spans="1:17" ht="12.75">
      <c r="A208" s="33" t="s">
        <v>1044</v>
      </c>
      <c r="B208" s="31"/>
      <c r="C208" s="31"/>
      <c r="D208" s="31"/>
      <c r="E208" s="31"/>
      <c r="F208" s="34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25"/>
    </row>
    <row r="209" spans="1:17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25"/>
    </row>
    <row r="210" spans="1:17" ht="12.75">
      <c r="A210" s="33" t="s">
        <v>1045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2.75">
      <c r="A211" s="33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2.75">
      <c r="A212" s="33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3:17" ht="12.75">
      <c r="M214" s="23"/>
      <c r="N214" s="23"/>
      <c r="O214" s="23"/>
      <c r="P214" s="23"/>
      <c r="Q214" s="23"/>
    </row>
  </sheetData>
  <mergeCells count="41">
    <mergeCell ref="N1:O1"/>
    <mergeCell ref="P15:P17"/>
    <mergeCell ref="H16:H17"/>
    <mergeCell ref="L16:L17"/>
    <mergeCell ref="M15:M17"/>
    <mergeCell ref="N15:N17"/>
    <mergeCell ref="O16:O17"/>
    <mergeCell ref="E15:E17"/>
    <mergeCell ref="F15:H15"/>
    <mergeCell ref="I15:I16"/>
    <mergeCell ref="J15:L15"/>
    <mergeCell ref="A15:A17"/>
    <mergeCell ref="B15:B17"/>
    <mergeCell ref="C15:C17"/>
    <mergeCell ref="D15:D17"/>
    <mergeCell ref="D12:E12"/>
    <mergeCell ref="A2:C2"/>
    <mergeCell ref="A8:P8"/>
    <mergeCell ref="A9:P9"/>
    <mergeCell ref="A6:P6"/>
    <mergeCell ref="A5:P5"/>
    <mergeCell ref="A4:P4"/>
    <mergeCell ref="N2:P2"/>
    <mergeCell ref="A19:P19"/>
    <mergeCell ref="A48:P48"/>
    <mergeCell ref="A74:P74"/>
    <mergeCell ref="A81:P81"/>
    <mergeCell ref="A196:I196"/>
    <mergeCell ref="A197:I197"/>
    <mergeCell ref="A198:I198"/>
    <mergeCell ref="A117:P117"/>
    <mergeCell ref="A130:P130"/>
    <mergeCell ref="A153:P153"/>
    <mergeCell ref="A195:I195"/>
    <mergeCell ref="A203:I203"/>
    <mergeCell ref="A204:I204"/>
    <mergeCell ref="A205:I205"/>
    <mergeCell ref="A199:I199"/>
    <mergeCell ref="A200:I200"/>
    <mergeCell ref="A201:I201"/>
    <mergeCell ref="A202:I202"/>
  </mergeCells>
  <conditionalFormatting sqref="I20:I47 I49:I73 I75:I80 I82:I116 I118:I129 I131:I152 I154:I194">
    <cfRule type="cellIs" priority="1" dxfId="0" operator="equal" stopIfTrue="1">
      <formula>"счета"</formula>
    </cfRule>
  </conditionalFormatting>
  <conditionalFormatting sqref="M20:N47 M49:N73 M75:N80 M82:N116 M118:N129 M131:N152 M154:N205">
    <cfRule type="cellIs" priority="2" dxfId="0" operator="equal" stopIfTrue="1">
      <formula>0</formula>
    </cfRule>
  </conditionalFormatting>
  <printOptions horizontalCentered="1"/>
  <pageMargins left="0.3937007874015748" right="0" top="0.3937007874015748" bottom="0.3937007874015748" header="0.5118110236220472" footer="0.1968503937007874"/>
  <pageSetup horizontalDpi="600" verticalDpi="600" orientation="landscape" paperSize="9" scale="82" r:id="rId3"/>
  <headerFooter alignWithMargins="0"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zakaz11</cp:lastModifiedBy>
  <cp:lastPrinted>2007-03-15T12:06:59Z</cp:lastPrinted>
  <dcterms:created xsi:type="dcterms:W3CDTF">2003-01-28T12:33:10Z</dcterms:created>
  <dcterms:modified xsi:type="dcterms:W3CDTF">2007-03-15T12:10:30Z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